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D245" lockStructure="1"/>
  <bookViews>
    <workbookView xWindow="0" yWindow="0" windowWidth="20490" windowHeight="6765" activeTab="1"/>
  </bookViews>
  <sheets>
    <sheet name="Ввод" sheetId="1" r:id="rId1"/>
    <sheet name="Результати" sheetId="3" r:id="rId2"/>
    <sheet name="ПроміжніДані" sheetId="2" state="hidden" r:id="rId3"/>
  </sheets>
  <definedNames>
    <definedName name="EB_28">ПроміжніДані!$C$2:$C$4</definedName>
    <definedName name="EB_31">ПроміжніДані!$D$2:$D$4</definedName>
    <definedName name="EB_34">ПроміжніДані!$E$2:$E$5</definedName>
    <definedName name="EB_37">ПроміжніДані!$F$2</definedName>
    <definedName name="EB_52">ПроміжніДані!$G$2</definedName>
    <definedName name="ВисЦоко">Ввод!$J$2</definedName>
    <definedName name="ВисШафи">Ввод!$C$2</definedName>
    <definedName name="ГлиШпфи">Ввод!$D$2</definedName>
    <definedName name="Д_В">Результати!$B$4</definedName>
    <definedName name="Д_М">Результати!$B$6</definedName>
    <definedName name="Д_Т">Результати!$B$5</definedName>
    <definedName name="Д_Ш">Результати!$B$3</definedName>
    <definedName name="КілДвер">Ввод!$A$2</definedName>
    <definedName name="КількістьДверей">ПроміжніДані!$A$1:$A$2</definedName>
    <definedName name="МатДвер">Ввод!$I$2</definedName>
    <definedName name="МатеріалДвері">ПроміжніДані!$B$1:$B$3</definedName>
    <definedName name="НалДвере">Ввод!$K$2</definedName>
    <definedName name="РозРолі">Ввод!$L$2</definedName>
    <definedName name="ТовБоко">Ввод!$E$2</definedName>
    <definedName name="ТовДвері">Ввод!$H$2</definedName>
    <definedName name="ТовДна">Ввод!$G$2</definedName>
    <definedName name="ТовКриш">Ввод!$F$2</definedName>
    <definedName name="ШирШафи">Ввод!$B$2</definedName>
  </definedNames>
  <calcPr calcId="162913"/>
</workbook>
</file>

<file path=xl/calcChain.xml><?xml version="1.0" encoding="utf-8"?>
<calcChain xmlns="http://schemas.openxmlformats.org/spreadsheetml/2006/main">
  <c r="N4" i="3" l="1"/>
  <c r="Q4" i="3"/>
  <c r="H8" i="3"/>
  <c r="E8" i="3"/>
  <c r="L2" i="1"/>
  <c r="H9" i="3"/>
  <c r="E9" i="3"/>
  <c r="A8" i="3"/>
  <c r="B4" i="3"/>
  <c r="E3" i="3" l="1"/>
  <c r="Q5" i="3"/>
  <c r="N5" i="3"/>
  <c r="K4" i="3" l="1"/>
  <c r="H5" i="3"/>
  <c r="H4" i="3"/>
  <c r="E5" i="3"/>
  <c r="E4" i="3"/>
  <c r="H3" i="3" l="1"/>
  <c r="Q3" i="3"/>
  <c r="K3" i="3"/>
  <c r="N3" i="3"/>
  <c r="B3" i="3"/>
  <c r="A7" i="3" s="1"/>
  <c r="B5" i="3"/>
  <c r="B6" i="3" l="1"/>
</calcChain>
</file>

<file path=xl/comments1.xml><?xml version="1.0" encoding="utf-8"?>
<comments xmlns="http://schemas.openxmlformats.org/spreadsheetml/2006/main">
  <authors>
    <author>Автор</author>
  </authors>
  <commentList>
    <comment ref="K1" authorId="0" shape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A6" authorId="0" shapeId="0">
      <text>
        <r>
          <rPr>
            <b/>
            <sz val="9"/>
            <color indexed="81"/>
            <rFont val="Tahoma"/>
            <family val="2"/>
            <charset val="204"/>
          </rPr>
          <t>Маса в кг для ДСП: 19 мм товщиною, плотністю = 700 kг/м³), для МДФ: 19 мм товщиною, плотністю = 900 kг/м³),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шкло, плотністю: 2500 kг/м³
</t>
        </r>
      </text>
    </comment>
  </commentList>
</comments>
</file>

<file path=xl/sharedStrings.xml><?xml version="1.0" encoding="utf-8"?>
<sst xmlns="http://schemas.openxmlformats.org/spreadsheetml/2006/main" count="58" uniqueCount="51">
  <si>
    <t>Габаритна ширина шафи,мм</t>
  </si>
  <si>
    <t>Габаритна висота шафи,мм</t>
  </si>
  <si>
    <t>Габаритна глибина шафи,мм</t>
  </si>
  <si>
    <t>Товщина боковини корпусу, мм</t>
  </si>
  <si>
    <t>2-дверна або 3-х дверна шафа</t>
  </si>
  <si>
    <t>2-х дверна</t>
  </si>
  <si>
    <t>3-х дверна</t>
  </si>
  <si>
    <t>ДСП</t>
  </si>
  <si>
    <t>МДФ</t>
  </si>
  <si>
    <t>Скло</t>
  </si>
  <si>
    <t>Двері</t>
  </si>
  <si>
    <t>Боковина 1</t>
  </si>
  <si>
    <t>Товщина боковини, мм</t>
  </si>
  <si>
    <t>Боковина 2</t>
  </si>
  <si>
    <t>Товщина стійки, мм</t>
  </si>
  <si>
    <t>Висота боковини з крайкою, мм</t>
  </si>
  <si>
    <t>Висота стійки з крайкою, мм</t>
  </si>
  <si>
    <t>Ширина криші з крайкою, мм</t>
  </si>
  <si>
    <t>Ширина дна з крайкою, мм</t>
  </si>
  <si>
    <t>EB_28</t>
  </si>
  <si>
    <t>EB_31</t>
  </si>
  <si>
    <t>EB_34</t>
  </si>
  <si>
    <t>EB_37</t>
  </si>
  <si>
    <t>EB_52</t>
  </si>
  <si>
    <t>Товщина дна,мм</t>
  </si>
  <si>
    <t>Товщина криші,мм</t>
  </si>
  <si>
    <t>Криша(внутрішня)</t>
  </si>
  <si>
    <t>Дно(внутрішнє)</t>
  </si>
  <si>
    <t>Маса кожної двері, кг</t>
  </si>
  <si>
    <t>Товщина криші, мм</t>
  </si>
  <si>
    <t>Товщина дна, мм</t>
  </si>
  <si>
    <t>ДЕТАЛІ (Габаритний розмір з урахуванням крайки)</t>
  </si>
  <si>
    <r>
      <t>Висота цоколя шафи</t>
    </r>
    <r>
      <rPr>
        <sz val="11"/>
        <color rgb="FFFF0000"/>
        <rFont val="Calibri"/>
        <family val="2"/>
        <charset val="204"/>
        <scheme val="minor"/>
      </rPr>
      <t xml:space="preserve"> (min.60 мм)</t>
    </r>
  </si>
  <si>
    <t>Профіль верхній в порізку</t>
  </si>
  <si>
    <t>Довжина профіля, мм</t>
  </si>
  <si>
    <t>Профіль нижній в порізку</t>
  </si>
  <si>
    <t>Ввод даних</t>
  </si>
  <si>
    <t>Глибина боковини з крайкою, мм</t>
  </si>
  <si>
    <t>Глибина стійки з крайкою, мм</t>
  </si>
  <si>
    <t>Середня стійка (стоїть на дні і на стійці лежить криша)</t>
  </si>
  <si>
    <t>Глибина криші з крайкою, мм</t>
  </si>
  <si>
    <t>Глибина дна з крайкою, мм</t>
  </si>
  <si>
    <t>Повернутися до вводу даних</t>
  </si>
  <si>
    <t>1-е свердління від краю під стопор або доводчик (розмір С на мал. нижче)</t>
  </si>
  <si>
    <t>1-е свердління від краю під стопор  (розмір С на мал. нижче)</t>
  </si>
  <si>
    <r>
      <t xml:space="preserve">Накладання дверей </t>
    </r>
    <r>
      <rPr>
        <sz val="11"/>
        <color rgb="FFFF0000"/>
        <rFont val="Calibri"/>
        <family val="2"/>
        <charset val="204"/>
        <scheme val="minor"/>
      </rPr>
      <t>(макс. 17 мм. Див. мал. нижче)</t>
    </r>
  </si>
  <si>
    <t>Товщина кожних дверей, мм</t>
  </si>
  <si>
    <t>Матеріал дверей</t>
  </si>
  <si>
    <t>Ширина кожинх дверей з крайкою, мм</t>
  </si>
  <si>
    <t>Висота кожних дверей з крайкою, мм</t>
  </si>
  <si>
    <t>Розмір  ролика передніх дверей (EB)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</si>
</sst>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 vertical="top" wrapText="1"/>
      <protection locked="0"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1" fontId="0" fillId="0" borderId="5" xfId="0" applyNumberFormat="1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0" borderId="6" xfId="0" applyBorder="1" applyAlignment="1" applyProtection="1">
      <alignment wrapText="1"/>
      <protection hidden="1"/>
    </xf>
    <xf numFmtId="0" fontId="0" fillId="0" borderId="7" xfId="0" applyBorder="1" applyAlignment="1" applyProtection="1">
      <alignment wrapText="1"/>
      <protection hidden="1"/>
    </xf>
    <xf numFmtId="1" fontId="0" fillId="0" borderId="7" xfId="0" applyNumberFormat="1" applyBorder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1" fontId="0" fillId="0" borderId="0" xfId="0" applyNumberForma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2" borderId="0" xfId="1" applyFill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wrapText="1"/>
      <protection hidden="1"/>
    </xf>
    <xf numFmtId="0" fontId="2" fillId="2" borderId="0" xfId="1" applyFill="1" applyAlignment="1" applyProtection="1">
      <alignment horizontal="center" vertical="top" wrapText="1"/>
      <protection locked="0"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66675</xdr:colOff>
      <xdr:row>5</xdr:row>
      <xdr:rowOff>47625</xdr:rowOff>
    </xdr:from>
    <xdr:to>
      <xdr:col>14</xdr:col>
      <xdr:colOff>0</xdr:colOff>
      <xdr:row>19</xdr:row>
      <xdr:rowOff>76200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2925" y="1828800"/>
          <a:ext cx="2771775" cy="2695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95249</xdr:rowOff>
    </xdr:from>
    <xdr:to>
      <xdr:col>10</xdr:col>
      <xdr:colOff>198248</xdr:colOff>
      <xdr:row>49</xdr:row>
      <xdr:rowOff>9524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686424"/>
          <a:ext cx="8294498" cy="4486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126277</xdr:rowOff>
    </xdr:from>
    <xdr:to>
      <xdr:col>11</xdr:col>
      <xdr:colOff>277528</xdr:colOff>
      <xdr:row>25</xdr:row>
      <xdr:rowOff>47624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097952"/>
          <a:ext cx="9183403" cy="354084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9</xdr:row>
      <xdr:rowOff>9526</xdr:rowOff>
    </xdr:from>
    <xdr:to>
      <xdr:col>4</xdr:col>
      <xdr:colOff>965038</xdr:colOff>
      <xdr:row>15</xdr:row>
      <xdr:rowOff>19050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5550" y="3971926"/>
          <a:ext cx="2412838" cy="115252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</xdr:colOff>
      <xdr:row>10</xdr:row>
      <xdr:rowOff>1</xdr:rowOff>
    </xdr:from>
    <xdr:to>
      <xdr:col>7</xdr:col>
      <xdr:colOff>742950</xdr:colOff>
      <xdr:row>16</xdr:row>
      <xdr:rowOff>7043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00626" y="4162426"/>
          <a:ext cx="2181224" cy="11500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"/>
  <sheetViews>
    <sheetView showGridLines="0" workbookViewId="0">
      <selection activeCell="B4" sqref="B4:D4"/>
    </sheetView>
  </sheetViews>
  <sheetFormatPr defaultRowHeight="15" x14ac:dyDescent="0.25"/>
  <cols>
    <col min="1" max="12" width="12.140625" style="1" customWidth="1"/>
    <col min="15" max="21" width="17.7109375" customWidth="1"/>
  </cols>
  <sheetData>
    <row r="1" spans="1:15" ht="80.25" customHeight="1" x14ac:dyDescent="0.25">
      <c r="A1" s="5" t="s">
        <v>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25</v>
      </c>
      <c r="G1" s="5" t="s">
        <v>24</v>
      </c>
      <c r="H1" s="5" t="s">
        <v>46</v>
      </c>
      <c r="I1" s="5" t="s">
        <v>47</v>
      </c>
      <c r="J1" s="5" t="s">
        <v>32</v>
      </c>
      <c r="K1" s="3" t="s">
        <v>45</v>
      </c>
      <c r="L1" s="5" t="s">
        <v>50</v>
      </c>
      <c r="M1" s="4"/>
      <c r="O1" s="1"/>
    </row>
    <row r="2" spans="1:15" x14ac:dyDescent="0.25">
      <c r="A2" s="6" t="s">
        <v>5</v>
      </c>
      <c r="B2" s="6">
        <v>3000</v>
      </c>
      <c r="C2" s="6">
        <v>2670</v>
      </c>
      <c r="D2" s="6">
        <v>600</v>
      </c>
      <c r="E2" s="6">
        <v>18</v>
      </c>
      <c r="F2" s="6">
        <v>18</v>
      </c>
      <c r="G2" s="6">
        <v>18</v>
      </c>
      <c r="H2" s="6">
        <v>18</v>
      </c>
      <c r="I2" s="6" t="s">
        <v>7</v>
      </c>
      <c r="J2" s="6">
        <v>60</v>
      </c>
      <c r="K2" s="6">
        <v>16</v>
      </c>
      <c r="L2" s="6">
        <f>IF(ТовДвері=16,28,IF(ТовДвері=18,31,IF(ТовДвері=19,31,IF(ТовДвері=21,34,IF(ТовДвері=22,34,IF(ТовДвері=25,37,IF(ТовДвері=40,52)))))))</f>
        <v>31</v>
      </c>
      <c r="M2" s="4"/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5" x14ac:dyDescent="0.25">
      <c r="A4" s="3"/>
      <c r="B4" s="20" t="s">
        <v>36</v>
      </c>
      <c r="C4" s="20"/>
      <c r="D4" s="20"/>
      <c r="E4" s="3"/>
      <c r="F4" s="3"/>
      <c r="G4" s="3"/>
      <c r="H4" s="3"/>
      <c r="I4" s="3"/>
      <c r="J4" s="3"/>
      <c r="K4" s="3"/>
      <c r="L4" s="3"/>
      <c r="M4" s="4"/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</row>
    <row r="6" spans="1: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</sheetData>
  <sheetProtection sheet="1" formatCells="0" formatColumns="0" formatRows="0" insertColumns="0" insertRows="0" insertHyperlinks="0" deleteColumns="0" deleteRows="0"/>
  <mergeCells count="1">
    <mergeCell ref="B4:D4"/>
  </mergeCells>
  <dataValidations count="2">
    <dataValidation type="list" allowBlank="1" showInputMessage="1" showErrorMessage="1" sqref="A2">
      <formula1>КількістьДверей</formula1>
    </dataValidation>
    <dataValidation type="list" allowBlank="1" showInputMessage="1" showErrorMessage="1" sqref="I2">
      <formula1>МатеріалДвері</formula1>
    </dataValidation>
  </dataValidations>
  <hyperlinks>
    <hyperlink ref="B4:D4" location="Результати!A1" display="Ввод даних"/>
  </hyperlink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"/>
  <sheetViews>
    <sheetView showGridLines="0" tabSelected="1" zoomScale="82" zoomScaleNormal="82" workbookViewId="0">
      <selection sqref="A1:Q1"/>
    </sheetView>
  </sheetViews>
  <sheetFormatPr defaultRowHeight="15" x14ac:dyDescent="0.25"/>
  <cols>
    <col min="1" max="1" width="21.5703125" style="1" customWidth="1"/>
    <col min="2" max="2" width="15.42578125" style="2" customWidth="1"/>
    <col min="3" max="3" width="0.5703125" style="1" customWidth="1"/>
    <col min="4" max="4" width="21.5703125" style="1" customWidth="1"/>
    <col min="5" max="5" width="15.42578125" style="1" customWidth="1"/>
    <col min="6" max="6" width="0.42578125" customWidth="1"/>
    <col min="7" max="7" width="21.5703125" style="1" customWidth="1"/>
    <col min="8" max="8" width="15.42578125" style="1" customWidth="1"/>
    <col min="9" max="9" width="0.5703125" customWidth="1"/>
    <col min="10" max="10" width="21.5703125" style="1" customWidth="1"/>
    <col min="11" max="11" width="15.42578125" style="1" customWidth="1"/>
    <col min="12" max="12" width="0.7109375" customWidth="1"/>
    <col min="13" max="13" width="21.5703125" style="1" customWidth="1"/>
    <col min="14" max="14" width="15.42578125" style="1" customWidth="1"/>
    <col min="15" max="15" width="0.5703125" customWidth="1"/>
    <col min="16" max="16" width="21.5703125" style="1" customWidth="1"/>
    <col min="17" max="17" width="15.42578125" style="1" customWidth="1"/>
  </cols>
  <sheetData>
    <row r="1" spans="1:17" ht="15.75" thickBot="1" x14ac:dyDescent="0.3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7.75" customHeight="1" x14ac:dyDescent="0.25">
      <c r="A2" s="23" t="s">
        <v>10</v>
      </c>
      <c r="B2" s="24"/>
      <c r="C2" s="7"/>
      <c r="D2" s="23" t="s">
        <v>11</v>
      </c>
      <c r="E2" s="24"/>
      <c r="F2" s="8"/>
      <c r="G2" s="23" t="s">
        <v>13</v>
      </c>
      <c r="H2" s="24"/>
      <c r="I2" s="8"/>
      <c r="J2" s="23" t="s">
        <v>39</v>
      </c>
      <c r="K2" s="24"/>
      <c r="L2" s="8"/>
      <c r="M2" s="23" t="s">
        <v>26</v>
      </c>
      <c r="N2" s="24"/>
      <c r="O2" s="8"/>
      <c r="P2" s="23" t="s">
        <v>27</v>
      </c>
      <c r="Q2" s="24"/>
    </row>
    <row r="3" spans="1:17" ht="45" x14ac:dyDescent="0.25">
      <c r="A3" s="9" t="s">
        <v>48</v>
      </c>
      <c r="B3" s="10">
        <f>IF(КілДвер="2-х дверна",0.5*ШирШафи-ТовБоко+НалДвере+15,IF(КілДвер="3-х дверна",(ШирШафи-2*(ТовБоко-НалДвере))/3+20,""))</f>
        <v>1513</v>
      </c>
      <c r="C3" s="7"/>
      <c r="D3" s="9" t="s">
        <v>37</v>
      </c>
      <c r="E3" s="11">
        <f>IF(КілДвер="2-х дверна",ГлиШпфи-ТовДвері-6,IF(КілДвер="3-х дверна",ГлиШпфи-ТовДвері-РозРолі-6,""))</f>
        <v>576</v>
      </c>
      <c r="F3" s="8"/>
      <c r="G3" s="9" t="s">
        <v>37</v>
      </c>
      <c r="H3" s="11">
        <f>ГлиШпфи-ТовДвері-РозРолі-6</f>
        <v>545</v>
      </c>
      <c r="I3" s="8"/>
      <c r="J3" s="9" t="s">
        <v>38</v>
      </c>
      <c r="K3" s="11">
        <f>ГлиШпфи-ТовДвері-РозРолі-24.5</f>
        <v>526.5</v>
      </c>
      <c r="L3" s="8"/>
      <c r="M3" s="9" t="s">
        <v>40</v>
      </c>
      <c r="N3" s="11">
        <f>ГлиШпфи-ТовДвері-РозРолі-24.5</f>
        <v>526.5</v>
      </c>
      <c r="O3" s="8"/>
      <c r="P3" s="9" t="s">
        <v>41</v>
      </c>
      <c r="Q3" s="11">
        <f>ГлиШпфи-ТовДвері-РозРолі-8</f>
        <v>543</v>
      </c>
    </row>
    <row r="4" spans="1:17" ht="45" x14ac:dyDescent="0.25">
      <c r="A4" s="9" t="s">
        <v>49</v>
      </c>
      <c r="B4" s="10">
        <f>IF(ВисЦоко&lt;60,"цоколь от 60 мм",ВисШафи-ВисЦоко+30)</f>
        <v>2640</v>
      </c>
      <c r="C4" s="7"/>
      <c r="D4" s="9" t="s">
        <v>15</v>
      </c>
      <c r="E4" s="11">
        <f>ВисШафи</f>
        <v>2670</v>
      </c>
      <c r="F4" s="8"/>
      <c r="G4" s="9" t="s">
        <v>15</v>
      </c>
      <c r="H4" s="11">
        <f>ВисШафи</f>
        <v>2670</v>
      </c>
      <c r="I4" s="8"/>
      <c r="J4" s="9" t="s">
        <v>16</v>
      </c>
      <c r="K4" s="11">
        <f>ВисШафи-ТовКриш-ТовДна-ВисЦоко</f>
        <v>2574</v>
      </c>
      <c r="L4" s="8"/>
      <c r="M4" s="9" t="s">
        <v>17</v>
      </c>
      <c r="N4" s="11">
        <f>ШирШафи-2*ТовБоко</f>
        <v>2964</v>
      </c>
      <c r="O4" s="8"/>
      <c r="P4" s="9" t="s">
        <v>18</v>
      </c>
      <c r="Q4" s="11">
        <f>ШирШафи-2*ТовБоко</f>
        <v>2964</v>
      </c>
    </row>
    <row r="5" spans="1:17" ht="30.75" thickBot="1" x14ac:dyDescent="0.3">
      <c r="A5" s="9" t="s">
        <v>46</v>
      </c>
      <c r="B5" s="10">
        <f>ТовДвері</f>
        <v>18</v>
      </c>
      <c r="C5" s="7"/>
      <c r="D5" s="12" t="s">
        <v>12</v>
      </c>
      <c r="E5" s="13">
        <f>ТовБоко</f>
        <v>18</v>
      </c>
      <c r="F5" s="8"/>
      <c r="G5" s="12" t="s">
        <v>12</v>
      </c>
      <c r="H5" s="13">
        <f>ТовБоко</f>
        <v>18</v>
      </c>
      <c r="I5" s="8"/>
      <c r="J5" s="12" t="s">
        <v>14</v>
      </c>
      <c r="K5" s="13"/>
      <c r="L5" s="8"/>
      <c r="M5" s="12" t="s">
        <v>29</v>
      </c>
      <c r="N5" s="13">
        <f>ТовКриш</f>
        <v>18</v>
      </c>
      <c r="O5" s="8"/>
      <c r="P5" s="12" t="s">
        <v>30</v>
      </c>
      <c r="Q5" s="13">
        <f>ТовДна</f>
        <v>18</v>
      </c>
    </row>
    <row r="6" spans="1:17" ht="15.75" thickBot="1" x14ac:dyDescent="0.3">
      <c r="A6" s="12" t="s">
        <v>28</v>
      </c>
      <c r="B6" s="14">
        <f>IFERROR(IF(МатДвер="ДСП",Д_Ш*Д_В*Д_Т*7/10000000,IF(МатДвер="МДФ",Д_Ш*Д_В*Д_Т*9/10000000,IF(МатДвер="скло",Д_Ш*Д_В*Д_Т*25/10000000,""))),"")</f>
        <v>50.328431999999999</v>
      </c>
      <c r="C6" s="7"/>
      <c r="D6" s="7"/>
      <c r="E6" s="7"/>
      <c r="F6" s="8"/>
      <c r="G6" s="7"/>
      <c r="H6" s="7"/>
      <c r="I6" s="8"/>
      <c r="J6" s="7"/>
      <c r="K6" s="7"/>
      <c r="L6" s="8"/>
      <c r="M6" s="7"/>
      <c r="N6" s="7"/>
      <c r="O6" s="8"/>
      <c r="P6" s="7"/>
      <c r="Q6" s="7"/>
    </row>
    <row r="7" spans="1:17" ht="50.25" customHeight="1" x14ac:dyDescent="0.25">
      <c r="A7" s="15" t="str">
        <f>IFERROR(IF(B4/B3&gt;2.55,"Двері дуже вузькі при такій висоті!!!",""),"")</f>
        <v/>
      </c>
      <c r="B7" s="16"/>
      <c r="C7" s="7"/>
      <c r="D7" s="23" t="s">
        <v>33</v>
      </c>
      <c r="E7" s="24"/>
      <c r="F7" s="8"/>
      <c r="G7" s="23" t="s">
        <v>35</v>
      </c>
      <c r="H7" s="24"/>
      <c r="I7" s="8"/>
      <c r="J7" s="7"/>
      <c r="K7" s="7"/>
      <c r="L7" s="8"/>
      <c r="M7" s="7"/>
      <c r="N7" s="7"/>
      <c r="O7" s="8"/>
      <c r="P7" s="7"/>
      <c r="Q7" s="7"/>
    </row>
    <row r="8" spans="1:17" ht="51.75" customHeight="1" x14ac:dyDescent="0.25">
      <c r="A8" s="17" t="str">
        <f>IFERROR(IF(ШирШафи-(3000+2+2*ТовБоко)&gt;0,"профили в Украине только длин. 3000 мм!!!",""),"")</f>
        <v/>
      </c>
      <c r="B8" s="16"/>
      <c r="C8" s="7"/>
      <c r="D8" s="9" t="s">
        <v>34</v>
      </c>
      <c r="E8" s="11">
        <f>ШирШафи-2*ТовБоко-2</f>
        <v>2962</v>
      </c>
      <c r="F8" s="8"/>
      <c r="G8" s="9" t="s">
        <v>34</v>
      </c>
      <c r="H8" s="11">
        <f>ШирШафи-2*ТовБоко-2</f>
        <v>2962</v>
      </c>
      <c r="I8" s="8"/>
      <c r="J8" s="18" t="s">
        <v>42</v>
      </c>
      <c r="K8" s="7"/>
      <c r="L8" s="8"/>
      <c r="M8" s="7"/>
      <c r="N8" s="7"/>
      <c r="O8" s="8"/>
      <c r="P8" s="7"/>
      <c r="Q8" s="7"/>
    </row>
    <row r="9" spans="1:17" ht="60.75" thickBot="1" x14ac:dyDescent="0.3">
      <c r="A9" s="7"/>
      <c r="B9" s="16"/>
      <c r="C9" s="7"/>
      <c r="D9" s="19" t="s">
        <v>43</v>
      </c>
      <c r="E9" s="13">
        <f>IF(НалДвере&lt;=18,32-НалДвере,"максимальное наложение 18 мм")</f>
        <v>16</v>
      </c>
      <c r="F9" s="7"/>
      <c r="G9" s="19" t="s">
        <v>44</v>
      </c>
      <c r="H9" s="13">
        <f>IF(НалДвере&lt;=18,29.5-НалДвере,"максимальное наложение 18 мм")</f>
        <v>13.5</v>
      </c>
      <c r="I9" s="7"/>
      <c r="J9" s="8"/>
      <c r="K9" s="7"/>
      <c r="L9" s="7"/>
      <c r="M9" s="8"/>
      <c r="N9" s="7"/>
      <c r="O9" s="7"/>
      <c r="P9" s="8"/>
      <c r="Q9" s="8"/>
    </row>
    <row r="10" spans="1:17" x14ac:dyDescent="0.25">
      <c r="D10"/>
      <c r="F10" s="1"/>
      <c r="G10"/>
      <c r="I10" s="1"/>
      <c r="J10"/>
      <c r="L10" s="1"/>
      <c r="M10"/>
      <c r="O10" s="1"/>
      <c r="P10"/>
      <c r="Q10"/>
    </row>
  </sheetData>
  <sheetProtection algorithmName="SHA-512" hashValue="I9bJfc/Cn10avl2UWulvB9O0Yb1jy5M+YMLQoindd/Zqua3bGKn1tl+xWo0Z7Y05gDoMAmov362yes+Fr2t8ZQ==" saltValue="PfVbHwcxPgWNWGtt5fHCYA==" spinCount="100000" sheet="1" formatCells="0" formatColumns="0" formatRows="0" insertColumns="0" insertRows="0" insertHyperlinks="0" deleteColumns="0" deleteRows="0"/>
  <mergeCells count="9">
    <mergeCell ref="A1:Q1"/>
    <mergeCell ref="D7:E7"/>
    <mergeCell ref="G7:H7"/>
    <mergeCell ref="A2:B2"/>
    <mergeCell ref="D2:E2"/>
    <mergeCell ref="G2:H2"/>
    <mergeCell ref="J2:K2"/>
    <mergeCell ref="M2:N2"/>
    <mergeCell ref="P2:Q2"/>
  </mergeCells>
  <hyperlinks>
    <hyperlink ref="J8" location="Ввод!A1" display="Вернутися до вводу даних"/>
  </hyperlink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I4" sqref="I4"/>
    </sheetView>
  </sheetViews>
  <sheetFormatPr defaultRowHeight="15" x14ac:dyDescent="0.25"/>
  <sheetData>
    <row r="1" spans="1:7" x14ac:dyDescent="0.25">
      <c r="A1" t="s">
        <v>5</v>
      </c>
      <c r="B1" t="s">
        <v>7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</row>
    <row r="2" spans="1:7" x14ac:dyDescent="0.25">
      <c r="A2" t="s">
        <v>6</v>
      </c>
      <c r="B2" t="s">
        <v>8</v>
      </c>
      <c r="C2">
        <v>15</v>
      </c>
      <c r="D2">
        <v>18</v>
      </c>
      <c r="E2">
        <v>21</v>
      </c>
      <c r="F2">
        <v>25</v>
      </c>
      <c r="G2">
        <v>40</v>
      </c>
    </row>
    <row r="3" spans="1:7" x14ac:dyDescent="0.25">
      <c r="B3" t="s">
        <v>9</v>
      </c>
      <c r="C3">
        <v>16</v>
      </c>
      <c r="D3">
        <v>19</v>
      </c>
      <c r="E3">
        <v>22</v>
      </c>
    </row>
    <row r="4" spans="1:7" x14ac:dyDescent="0.25">
      <c r="C4">
        <v>17</v>
      </c>
      <c r="D4">
        <v>20</v>
      </c>
      <c r="E4">
        <v>23</v>
      </c>
    </row>
    <row r="5" spans="1:7" x14ac:dyDescent="0.25">
      <c r="E5">
        <v>24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23</vt:i4>
      </vt:variant>
    </vt:vector>
  </HeadingPairs>
  <TitlesOfParts>
    <vt:vector size="26" baseType="lpstr">
      <vt:lpstr>Ввод</vt:lpstr>
      <vt:lpstr>Результати</vt:lpstr>
      <vt:lpstr>ПроміжніДані</vt:lpstr>
      <vt:lpstr>EB_28</vt:lpstr>
      <vt:lpstr>EB_31</vt:lpstr>
      <vt:lpstr>EB_34</vt:lpstr>
      <vt:lpstr>EB_37</vt:lpstr>
      <vt:lpstr>EB_52</vt:lpstr>
      <vt:lpstr>ВисЦоко</vt:lpstr>
      <vt:lpstr>ВисШафи</vt:lpstr>
      <vt:lpstr>ГлиШпфи</vt:lpstr>
      <vt:lpstr>Д_В</vt:lpstr>
      <vt:lpstr>Д_М</vt:lpstr>
      <vt:lpstr>Д_Т</vt:lpstr>
      <vt:lpstr>Д_Ш</vt:lpstr>
      <vt:lpstr>КілДвер</vt:lpstr>
      <vt:lpstr>КількістьДверей</vt:lpstr>
      <vt:lpstr>МатДвер</vt:lpstr>
      <vt:lpstr>МатеріалДвері</vt:lpstr>
      <vt:lpstr>НалДвере</vt:lpstr>
      <vt:lpstr>РозРолі</vt:lpstr>
      <vt:lpstr>ТовБоко</vt:lpstr>
      <vt:lpstr>ТовДвері</vt:lpstr>
      <vt:lpstr>ТовДна</vt:lpstr>
      <vt:lpstr>ТовКриш</vt:lpstr>
      <vt:lpstr>ШирШафи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2017-07-25T14:39:51Z</dcterms:modified>
</cp:coreProperties>
</file>