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C138DD6B-4D1F-44C9-8F5A-D51B593F0C4D}" xr6:coauthVersionLast="45" xr6:coauthVersionMax="45" xr10:uidLastSave="{00000000-0000-0000-0000-000000000000}"/>
  <workbookProtection workbookAlgorithmName="SHA-512" workbookHashValue="56OkOXuq7HpTDKD/GaPv88zE4dYOmz/8WKFBNAbgoSt+d1OSmY2z5BfFark3ptll4PNG0/85CuBLssUDrklBNA==" workbookSaltValue="VPm3wrGJoqEehn+iHm8M7w==" workbookSpinCount="100000" lockStructure="1"/>
  <bookViews>
    <workbookView xWindow="-120" yWindow="-120" windowWidth="20730" windowHeight="11310" xr2:uid="{00000000-000D-0000-FFFF-FFFF00000000}"/>
  </bookViews>
  <sheets>
    <sheet name="Расчет" sheetId="1" r:id="rId1"/>
    <sheet name="ДопИнфо" sheetId="4" state="hidden" r:id="rId2"/>
    <sheet name="Наименование" sheetId="2" state="hidden" r:id="rId3"/>
    <sheet name="Лист3" sheetId="3" state="hidden" r:id="rId4"/>
  </sheets>
  <definedNames>
    <definedName name="_xlnm._FilterDatabase" localSheetId="0" hidden="1">Расчет!$O$1:$P$14</definedName>
    <definedName name="EB.30">Наименование!$D$1:$D$5</definedName>
    <definedName name="EB_30">Наименование!$D$1</definedName>
    <definedName name="Боковина_большая">Расчет!$P$30</definedName>
    <definedName name="Боковина_меньшая">Расчет!$P$34</definedName>
    <definedName name="высота_с_кромкой">Расчет!$P$24</definedName>
    <definedName name="Высота_цоколя">Расчет!$P$13</definedName>
    <definedName name="Высота_шкафа">Расчет!$P$1</definedName>
    <definedName name="ВысотаБоковины">Расчет!$P$32</definedName>
    <definedName name="ВысотаБоковиныМеньшей">Расчет!$P$36</definedName>
    <definedName name="высотаВнутрСтойки">Расчет!$P$40</definedName>
    <definedName name="ВысотаДвери">Расчет!$P$19</definedName>
    <definedName name="ВысотаПроема">Расчет!$P$2</definedName>
    <definedName name="Глубина_шкафа">Расчет!$P$3</definedName>
    <definedName name="ДвериТип">Расчет!$P$15</definedName>
    <definedName name="Дверь">Расчет!#REF!</definedName>
    <definedName name="длинаПрофиля">Расчет!$P$39</definedName>
    <definedName name="длинаПрофиляПорезка">Расчет!$P$52</definedName>
    <definedName name="ЗаднняДверь">Наименование!$R$1:$R$2</definedName>
    <definedName name="КакаяПередняя">Расчет!$P$12</definedName>
    <definedName name="Кол_воДверей">Расчет!$P$11</definedName>
    <definedName name="КолвоДверей">Наименование!$A$1:$A$2</definedName>
    <definedName name="Крыша_и_дно">Расчет!$P$22</definedName>
    <definedName name="МассаДвери">Расчет!$P$20</definedName>
    <definedName name="Материал">Наименование!$K$1:$K$2</definedName>
    <definedName name="Материал_двери__ДСП_или_МДФ">Расчет!$P$14</definedName>
    <definedName name="Наложение_А">Наименование!$M$1:$M$30</definedName>
    <definedName name="НаложениеА">Расчет!$P$8</definedName>
    <definedName name="Передняя">Наименование!$V$1:$V$2</definedName>
    <definedName name="ПередняяДверь">Расчет!#REF!</definedName>
    <definedName name="ПередняяДверьПраваяЛевая">Расчет!$Q$11</definedName>
    <definedName name="Размер_EB">Расчет!$P$10</definedName>
    <definedName name="РазмерC">Расчет!#REF!</definedName>
    <definedName name="РазмерДверей">Наименование!$F$1:$F$35</definedName>
    <definedName name="РазмерыДверей">Наименование!$I$1:$I$8</definedName>
    <definedName name="сверлениеНижнийСтопор">Расчет!#REF!</definedName>
    <definedName name="ТипДверей">Наименование!$O$1:$O$2</definedName>
    <definedName name="Толщина_большей_боковины">Расчет!$P$6</definedName>
    <definedName name="Толщина_двери">Расчет!$P$9</definedName>
    <definedName name="Толщина_крыши">Расчет!$P$7</definedName>
    <definedName name="Толщина_меньшей_боковины">Расчет!$P$5</definedName>
    <definedName name="ТОЛЩИНАнов">Расчет!$Q$9</definedName>
    <definedName name="ТолщиныДверей">Наименование!$T$1:$T$43</definedName>
    <definedName name="ширина_с_кромкой">Расчет!$P$23</definedName>
    <definedName name="Ширина_шкафа">Расчет!$P$4</definedName>
    <definedName name="ШиринаБоковины">Расчет!$P$31</definedName>
    <definedName name="ШиринаБоковиныМеньшей">Расчет!$P$35</definedName>
    <definedName name="ШиринаДвери">Расчет!$P$18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" i="1" l="1"/>
  <c r="P52" i="1"/>
  <c r="N60" i="1" l="1"/>
  <c r="O60" i="1" s="1"/>
  <c r="P56" i="1"/>
  <c r="N59" i="1"/>
  <c r="O59" i="1" s="1"/>
  <c r="P40" i="1"/>
  <c r="P36" i="1"/>
  <c r="P32" i="1"/>
  <c r="P28" i="1"/>
  <c r="P24" i="1"/>
  <c r="P19" i="1"/>
  <c r="P18" i="1"/>
  <c r="P47" i="1" s="1"/>
  <c r="P10" i="1"/>
  <c r="Q9" i="1"/>
  <c r="P31" i="1" l="1"/>
  <c r="P35" i="1"/>
  <c r="P44" i="1"/>
  <c r="P43" i="1"/>
  <c r="P27" i="1"/>
  <c r="P48" i="1"/>
  <c r="P49" i="1"/>
  <c r="P20" i="1"/>
  <c r="P23" i="1"/>
  <c r="P39" i="1" s="1"/>
  <c r="N61" i="1" l="1"/>
  <c r="O61" i="1" s="1"/>
  <c r="N62" i="1"/>
  <c r="O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P1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 xml:space="preserve">Ввести значения в ячейки голубого цвета
</t>
        </r>
      </text>
    </comment>
    <comment ref="P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Профиль Connect - О+С+Р+З=36мм, О+О=21мм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<sst xmlns="http://schemas.openxmlformats.org/spreadsheetml/2006/main" count="95" uniqueCount="82">
  <si>
    <t xml:space="preserve">Дверь </t>
  </si>
  <si>
    <t>Материал двери: ДСП или МДФ</t>
  </si>
  <si>
    <t>2-х дверный или 3-х дверный</t>
  </si>
  <si>
    <t>2-х дверный</t>
  </si>
  <si>
    <t>3-х дверный</t>
  </si>
  <si>
    <t>EB 30</t>
  </si>
  <si>
    <t>ДСП</t>
  </si>
  <si>
    <t>МДФ</t>
  </si>
  <si>
    <t>Стекло</t>
  </si>
  <si>
    <t>ширина с кромкой, мм</t>
  </si>
  <si>
    <t>высота с кромкой, мм</t>
  </si>
  <si>
    <t>длина, мм</t>
  </si>
  <si>
    <t>Двери накладные или внутренние</t>
  </si>
  <si>
    <t>Двери_внутренние</t>
  </si>
  <si>
    <t>Двери_накладные</t>
  </si>
  <si>
    <t>Задняя_левая</t>
  </si>
  <si>
    <t>Задняя_правая</t>
  </si>
  <si>
    <r>
      <t xml:space="preserve">Масса, кг, </t>
    </r>
    <r>
      <rPr>
        <sz val="10"/>
        <color rgb="FFFF0000"/>
        <rFont val="Calibri"/>
        <family val="2"/>
        <charset val="204"/>
        <scheme val="minor"/>
      </rPr>
      <t>ориетировочно!Требуется контрольное взвешивание</t>
    </r>
  </si>
  <si>
    <t>Толщина двери,мм</t>
  </si>
  <si>
    <t>Размер EB,мм</t>
  </si>
  <si>
    <r>
      <t>Высота цоколя,мм</t>
    </r>
    <r>
      <rPr>
        <sz val="10"/>
        <color rgb="FFFF0000"/>
        <rFont val="Calibri"/>
        <family val="2"/>
        <charset val="204"/>
        <scheme val="minor"/>
      </rPr>
      <t xml:space="preserve"> (МИН.60)</t>
    </r>
  </si>
  <si>
    <t xml:space="preserve">Крыша </t>
  </si>
  <si>
    <t>Дно</t>
  </si>
  <si>
    <t>глубина с кромкой, мм</t>
  </si>
  <si>
    <t>Боковина №1</t>
  </si>
  <si>
    <t>Боковина №2</t>
  </si>
  <si>
    <t>Толщина боковины №1,мм</t>
  </si>
  <si>
    <t>Толщина боковины №2,мм</t>
  </si>
  <si>
    <t>Габаритная высота шкафа,мм</t>
  </si>
  <si>
    <t>Габаритная ширина  шкафа,мм</t>
  </si>
  <si>
    <t>Габаритная глубина шкафа,мм</t>
  </si>
  <si>
    <t>Стойка внутренняя, мм</t>
  </si>
  <si>
    <t>Толщина крыши и дна,мм</t>
  </si>
  <si>
    <t>Профиль Connect - О+С+Р+З</t>
  </si>
  <si>
    <t>Профиль Connect - О+О</t>
  </si>
  <si>
    <t>высота с кромкой (между крышей и дном), мм</t>
  </si>
  <si>
    <r>
      <t>Наложение (</t>
    </r>
    <r>
      <rPr>
        <b/>
        <sz val="10"/>
        <color theme="1"/>
        <rFont val="Calibri"/>
        <family val="2"/>
        <charset val="204"/>
        <scheme val="minor"/>
      </rPr>
      <t>А</t>
    </r>
    <r>
      <rPr>
        <sz val="10"/>
        <color theme="1"/>
        <rFont val="Calibri"/>
        <family val="2"/>
        <charset val="204"/>
        <scheme val="minor"/>
      </rPr>
      <t xml:space="preserve">). </t>
    </r>
    <r>
      <rPr>
        <sz val="10"/>
        <color rgb="FFFF0000"/>
        <rFont val="Calibri"/>
        <family val="2"/>
        <charset val="204"/>
        <scheme val="minor"/>
      </rPr>
      <t>В случае внутренних дверей размер (A) со знаком "-". Зазор между стойкой и дверью</t>
    </r>
  </si>
  <si>
    <r>
      <rPr>
        <b/>
        <sz val="10"/>
        <color theme="1"/>
        <rFont val="Calibri"/>
        <family val="2"/>
        <charset val="204"/>
        <scheme val="minor"/>
      </rPr>
      <t xml:space="preserve">u1 </t>
    </r>
    <r>
      <rPr>
        <sz val="10"/>
        <color theme="1"/>
        <rFont val="Calibri"/>
        <family val="2"/>
        <charset val="204"/>
        <scheme val="minor"/>
      </rPr>
      <t>для доводчиков только на закрывание</t>
    </r>
  </si>
  <si>
    <r>
      <rPr>
        <b/>
        <sz val="10"/>
        <color theme="1"/>
        <rFont val="Calibri"/>
        <family val="2"/>
        <charset val="204"/>
        <scheme val="minor"/>
      </rPr>
      <t>u1</t>
    </r>
    <r>
      <rPr>
        <sz val="10"/>
        <color theme="1"/>
        <rFont val="Calibri"/>
        <family val="2"/>
        <charset val="204"/>
        <scheme val="minor"/>
      </rPr>
      <t xml:space="preserve"> для доводчиков  на закрывание и открывание </t>
    </r>
  </si>
  <si>
    <r>
      <rPr>
        <b/>
        <sz val="10"/>
        <color theme="1"/>
        <rFont val="Calibri"/>
        <family val="2"/>
        <charset val="204"/>
        <scheme val="minor"/>
      </rPr>
      <t>u1</t>
    </r>
    <r>
      <rPr>
        <sz val="10"/>
        <color theme="1"/>
        <rFont val="Calibri"/>
        <family val="2"/>
        <charset val="204"/>
        <scheme val="minor"/>
      </rPr>
      <t xml:space="preserve"> для доводчиков на закрывание и открывание </t>
    </r>
  </si>
  <si>
    <r>
      <rPr>
        <b/>
        <sz val="10"/>
        <color theme="1"/>
        <rFont val="Calibri"/>
        <family val="2"/>
        <charset val="204"/>
        <scheme val="minor"/>
      </rPr>
      <t>u2</t>
    </r>
    <r>
      <rPr>
        <sz val="10"/>
        <color theme="1"/>
        <rFont val="Calibri"/>
        <family val="2"/>
        <charset val="204"/>
        <scheme val="minor"/>
      </rPr>
      <t xml:space="preserve"> для доводчиков  на закрывание и открывание </t>
    </r>
  </si>
  <si>
    <r>
      <rPr>
        <b/>
        <sz val="10"/>
        <color theme="1"/>
        <rFont val="Calibri"/>
        <family val="2"/>
        <charset val="204"/>
        <scheme val="minor"/>
      </rPr>
      <t>u3</t>
    </r>
    <r>
      <rPr>
        <sz val="10"/>
        <color theme="1"/>
        <rFont val="Calibri"/>
        <family val="2"/>
        <charset val="204"/>
        <scheme val="minor"/>
      </rPr>
      <t xml:space="preserve"> для доводчиков  на закрывание и открывание </t>
    </r>
  </si>
  <si>
    <t>Профиль верхний в порезку</t>
  </si>
  <si>
    <t>Профиль  нижний в порезку</t>
  </si>
  <si>
    <t>Арт.</t>
  </si>
  <si>
    <t>Передняя правая</t>
  </si>
  <si>
    <t>Передняя левая</t>
  </si>
  <si>
    <r>
      <rPr>
        <b/>
        <sz val="10"/>
        <color rgb="FFFF0000"/>
        <rFont val="Calibri"/>
        <family val="2"/>
        <charset val="204"/>
        <scheme val="minor"/>
      </rPr>
      <t>Для 2-х дверного:</t>
    </r>
    <r>
      <rPr>
        <b/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 xml:space="preserve">передняя правая или левая </t>
    </r>
  </si>
  <si>
    <t>Наименование</t>
  </si>
  <si>
    <t>Количество на 1 шкаф.</t>
  </si>
  <si>
    <t>Комплект роликов для 2-дверного шкафа, передняя дверь слева, 18-30мм, TopLine L v2.0</t>
  </si>
  <si>
    <t>Комплект роликов для 2-дверного шкафа, передняя дверь справа, 18-30мм, TopLine L v2.0</t>
  </si>
  <si>
    <t>Комплект роликов для 3-дверного шкафа, 18-30мм, TopLine L v2.0</t>
  </si>
  <si>
    <t>Комплект демпферов SilentSystem на закрывание 2-дверного шкафа, 50кг, TopLine L v2.0</t>
  </si>
  <si>
    <t>Комплект демпферов SilentSystem на закрывание 3-дверного шкафа, 50кг, TopLine L v2.0</t>
  </si>
  <si>
    <t>Комплект демпферов SilentSystem на открывание 2-дверного шкафа, 50кг, TopLine L v2.0</t>
  </si>
  <si>
    <t>Комплект демпферов SilentSystem на открывание 3-дверного шкафа, 50кг, TopLine L v2.0</t>
  </si>
  <si>
    <t>Комплект демпферов SilentSystem на соударение 3-дверного шкафа, 50кг, TopLine L v2.0</t>
  </si>
  <si>
    <t>Комплект профилей, L=2300мм, TopLine L v2.0</t>
  </si>
  <si>
    <t>Комплект профилей, L=4000мм, TopLine L v2.0</t>
  </si>
  <si>
    <t>Декоративный профиль для верхних роликов передней двери, L=1500мм, TopLine L v2.0</t>
  </si>
  <si>
    <t>Декоративная самоклеющаяся лента для ходового профиля, L=4000мм, черный, TopLine L v2.0</t>
  </si>
  <si>
    <t>Декоративная самоклеющаяся лента для ходового профиля, L=4000мм, белый, TopLine L v2.0</t>
  </si>
  <si>
    <t>Комплект винтов для фиксации верхнего профиля (крыша 16-19мм), 20 шт., TopLine L v2.0</t>
  </si>
  <si>
    <t>Комплект роликов для 2-дверного шкафа, передняя дверь слева, 10-16мм, TopLine L v2.0</t>
  </si>
  <si>
    <t>Комплект роликов для 2-дверного шкафа, передняя дверь справа, 10-16мм, TopLine L v2.0</t>
  </si>
  <si>
    <t>Комплект роликов для 3-дверного шкафа, 10-16мм, TopLine L v2.0</t>
  </si>
  <si>
    <t>Комплект демпферов SilentSystem на закрывание 2-дверного шкафа, 20кг, TopLine L v2.0</t>
  </si>
  <si>
    <t>Комплект демпферов SilentSystem на закрывание 3-дверного шкафа, 20кг, TopLine L v2.0</t>
  </si>
  <si>
    <t>Комплект демпферов SilentSystem на открывание 2-дверного шкафа, 20кг, TopLine L v2.0</t>
  </si>
  <si>
    <t>Комплект демпферов SilentSystem на открывание 3-дверного шкафа, 20кг, TopLine L v2.0</t>
  </si>
  <si>
    <r>
      <rPr>
        <b/>
        <sz val="10"/>
        <color theme="1"/>
        <rFont val="Calibri"/>
        <family val="2"/>
        <charset val="204"/>
        <scheme val="minor"/>
      </rPr>
      <t xml:space="preserve">ДЛЯ </t>
    </r>
    <r>
      <rPr>
        <b/>
        <sz val="10"/>
        <color rgb="FFFF0000"/>
        <rFont val="Calibri"/>
        <family val="2"/>
        <charset val="204"/>
        <scheme val="minor"/>
      </rPr>
      <t>2-х</t>
    </r>
    <r>
      <rPr>
        <b/>
        <sz val="10"/>
        <color theme="1"/>
        <rFont val="Calibri"/>
        <family val="2"/>
        <charset val="204"/>
        <scheme val="minor"/>
      </rPr>
      <t xml:space="preserve"> Дверного шкафа: Недооткрывание</t>
    </r>
    <r>
      <rPr>
        <sz val="10"/>
        <color theme="1"/>
        <rFont val="Calibri"/>
        <family val="2"/>
        <charset val="204"/>
        <scheme val="minor"/>
      </rPr>
      <t xml:space="preserve"> 34 мм (можно сделать полное наложение)</t>
    </r>
  </si>
  <si>
    <r>
      <rPr>
        <b/>
        <sz val="10"/>
        <color theme="1"/>
        <rFont val="Calibri"/>
        <family val="2"/>
        <charset val="204"/>
        <scheme val="minor"/>
      </rPr>
      <t xml:space="preserve">ДЛЯ </t>
    </r>
    <r>
      <rPr>
        <b/>
        <sz val="10"/>
        <color rgb="FFFF0000"/>
        <rFont val="Calibri"/>
        <family val="2"/>
        <charset val="204"/>
        <scheme val="minor"/>
      </rPr>
      <t>3-х</t>
    </r>
    <r>
      <rPr>
        <b/>
        <sz val="10"/>
        <color theme="1"/>
        <rFont val="Calibri"/>
        <family val="2"/>
        <charset val="204"/>
        <scheme val="minor"/>
      </rPr>
      <t xml:space="preserve"> Дверного шкафа: Недооткрывание</t>
    </r>
    <r>
      <rPr>
        <sz val="10"/>
        <color theme="1"/>
        <rFont val="Calibri"/>
        <family val="2"/>
        <charset val="204"/>
        <scheme val="minor"/>
      </rPr>
      <t xml:space="preserve"> 34 мм (можно сделать полное наложение)</t>
    </r>
  </si>
  <si>
    <t>Ccылка на монтаж системы</t>
  </si>
  <si>
    <t>Минимальная высота проема, мм</t>
  </si>
  <si>
    <t>Монтажная инструкция для доводчиков 2-х дверного шкафа на закрывание</t>
  </si>
  <si>
    <t>Монтажная инструкция для доводчиков 2-х дверного шкафа на открывание и сталкивание дверей</t>
  </si>
  <si>
    <t>Монтажная инструкция 3-х дверного шкафа</t>
  </si>
  <si>
    <t>Монтажная инструкция 2-х дверного шкафа</t>
  </si>
  <si>
    <t>Монтажная инструкция для доводчиков3-х дверного шкафа на закрывание</t>
  </si>
  <si>
    <t>Монтажная инструкция для доводчиков 3-х дверного шкафа на открывание и сталкивание дверей</t>
  </si>
  <si>
    <t>Видео по монтажу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</si>
</sst>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theme="1"/>
      <name val="Calibri"/>
      <family val="2"/>
      <charset val="204"/>
      <scheme val="minor"/>
    </font>
    <font>
      <i/>
      <sz val="12"/>
      <color rgb="FFFF0000"/>
      <name val="Arial"/>
      <family val="2"/>
      <charset val="204"/>
    </font>
    <font>
      <u/>
      <sz val="9.4499999999999993"/>
      <color theme="10"/>
      <name val="Calibri"/>
      <family val="2"/>
      <charset val="204"/>
    </font>
    <font>
      <sz val="10"/>
      <color theme="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u/>
      <sz val="18"/>
      <color theme="10"/>
      <name val="Calibri"/>
      <family val="2"/>
      <charset val="204"/>
    </font>
    <font>
      <b/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6" fillId="0" borderId="0" xfId="0" applyFont="1"/>
    <xf numFmtId="0" fontId="1" fillId="0" borderId="4" xfId="0" applyFont="1" applyBorder="1" applyAlignment="1">
      <alignment horizontal="left" vertical="top"/>
    </xf>
    <xf numFmtId="0" fontId="0" fillId="0" borderId="4" xfId="0" applyBorder="1"/>
    <xf numFmtId="0" fontId="0" fillId="0" borderId="4" xfId="0" applyFill="1" applyBorder="1"/>
    <xf numFmtId="0" fontId="0" fillId="0" borderId="5" xfId="0" applyBorder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 applyProtection="1">
      <alignment horizontal="left" vertical="top"/>
      <protection locked="0" hidden="1"/>
    </xf>
    <xf numFmtId="0" fontId="8" fillId="0" borderId="0" xfId="0" applyFont="1" applyBorder="1" applyAlignment="1">
      <alignment horizontal="left" vertical="top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/>
    </xf>
    <xf numFmtId="0" fontId="5" fillId="0" borderId="4" xfId="0" applyFont="1" applyBorder="1" applyAlignment="1" applyProtection="1">
      <alignment horizontal="left" vertical="top"/>
    </xf>
    <xf numFmtId="0" fontId="0" fillId="0" borderId="3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1" fillId="0" borderId="0" xfId="1" applyFont="1" applyBorder="1" applyAlignment="1" applyProtection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 hidden="1"/>
    </xf>
    <xf numFmtId="0" fontId="12" fillId="2" borderId="4" xfId="0" applyFont="1" applyFill="1" applyBorder="1" applyAlignment="1" applyProtection="1">
      <alignment horizontal="left" vertical="top"/>
      <protection locked="0" hidden="1"/>
    </xf>
    <xf numFmtId="0" fontId="5" fillId="2" borderId="4" xfId="0" applyFont="1" applyFill="1" applyBorder="1" applyAlignment="1" applyProtection="1">
      <alignment horizontal="left" vertical="top"/>
      <protection locked="0" hidden="1"/>
    </xf>
    <xf numFmtId="0" fontId="5" fillId="0" borderId="0" xfId="0" applyFont="1" applyBorder="1" applyAlignment="1">
      <alignment horizontal="left" vertical="top" wrapText="1"/>
    </xf>
    <xf numFmtId="0" fontId="1" fillId="0" borderId="4" xfId="0" applyFont="1" applyBorder="1" applyAlignment="1" applyProtection="1">
      <alignment horizontal="left" vertical="top"/>
      <protection hidden="1"/>
    </xf>
    <xf numFmtId="0" fontId="1" fillId="0" borderId="4" xfId="0" applyFont="1" applyBorder="1" applyAlignment="1" applyProtection="1">
      <alignment horizontal="left" vertical="top"/>
      <protection locked="0" hidden="1"/>
    </xf>
    <xf numFmtId="2" fontId="1" fillId="0" borderId="4" xfId="0" applyNumberFormat="1" applyFont="1" applyBorder="1" applyAlignment="1" applyProtection="1">
      <alignment horizontal="left" vertical="top"/>
      <protection hidden="1"/>
    </xf>
    <xf numFmtId="0" fontId="1" fillId="0" borderId="0" xfId="0" applyFont="1" applyBorder="1" applyAlignment="1" applyProtection="1">
      <alignment horizontal="left" vertical="top"/>
      <protection hidden="1"/>
    </xf>
    <xf numFmtId="0" fontId="5" fillId="0" borderId="4" xfId="0" applyFont="1" applyBorder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7" fillId="0" borderId="0" xfId="1" applyBorder="1" applyAlignment="1" applyProtection="1">
      <alignment horizontal="left" vertical="top"/>
    </xf>
    <xf numFmtId="0" fontId="5" fillId="3" borderId="4" xfId="0" applyFont="1" applyFill="1" applyBorder="1" applyAlignment="1" applyProtection="1">
      <alignment horizontal="left" vertical="top" wrapText="1"/>
      <protection hidden="1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209545</xdr:colOff>
      <xdr:row>2</xdr:row>
      <xdr:rowOff>23779</xdr:rowOff>
    </xdr:from>
    <xdr:to>
      <xdr:col>5</xdr:col>
      <xdr:colOff>96804</xdr:colOff>
      <xdr:row>2</xdr:row>
      <xdr:rowOff>155064</xdr:rowOff>
    </xdr:to>
    <xdr:sp macro="" textlink="Ширина_шкафа">
      <xdr:nvSpPr>
        <xdr:cNvPr id="10" name="Прямоугольни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10800000" flipV="1">
          <a:off x="2646173" y="189913"/>
          <a:ext cx="496416" cy="13128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0423915-E92A-4F18-9297-9E60E87944A6}" type="TxLink">
            <a:rPr lang="en-US" sz="1050" b="1" i="0" u="none" strike="noStrike">
              <a:solidFill>
                <a:srgbClr val="FF0000"/>
              </a:solidFill>
              <a:latin typeface="Calibri"/>
            </a:rPr>
            <a:pPr algn="ctr"/>
            <a:t>2400</a:t>
          </a:fld>
          <a:endParaRPr lang="ru-RU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7</xdr:row>
      <xdr:rowOff>674685</xdr:rowOff>
    </xdr:from>
    <xdr:to>
      <xdr:col>0</xdr:col>
      <xdr:colOff>0</xdr:colOff>
      <xdr:row>9</xdr:row>
      <xdr:rowOff>65375</xdr:rowOff>
    </xdr:to>
    <xdr:sp macro="" textlink="Высота_шкафа">
      <xdr:nvSpPr>
        <xdr:cNvPr id="12" name="Прямоугольни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5400000" flipV="1">
          <a:off x="212071" y="2280051"/>
          <a:ext cx="477135" cy="302497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FAB9EB4-B3E4-423B-9544-E1A94D16E286}" type="TxLink">
            <a:rPr lang="en-US" sz="1000" b="1" i="0" u="none" strike="noStrike">
              <a:solidFill>
                <a:srgbClr val="FF0000"/>
              </a:solidFill>
              <a:latin typeface="Calibri"/>
            </a:rPr>
            <a:pPr algn="ctr"/>
            <a:t>2600</a:t>
          </a:fld>
          <a:endParaRPr lang="ru-RU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23238</xdr:colOff>
      <xdr:row>18</xdr:row>
      <xdr:rowOff>185660</xdr:rowOff>
    </xdr:from>
    <xdr:to>
      <xdr:col>10</xdr:col>
      <xdr:colOff>317077</xdr:colOff>
      <xdr:row>19</xdr:row>
      <xdr:rowOff>265199</xdr:rowOff>
    </xdr:to>
    <xdr:sp macro="" textlink="Высота_цоколя">
      <xdr:nvSpPr>
        <xdr:cNvPr id="13" name="Прямоугольни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5400000" flipV="1">
          <a:off x="6753492" y="4958054"/>
          <a:ext cx="329772" cy="29383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730725-37A2-49F9-85A5-848780F25D7E}" type="TxLink">
            <a:rPr lang="en-US" sz="1000" b="1" i="0" u="none" strike="noStrike">
              <a:solidFill>
                <a:srgbClr val="FF0000"/>
              </a:solidFill>
              <a:latin typeface="Calibri"/>
            </a:rPr>
            <a:pPr algn="ctr"/>
            <a:t>60</a:t>
          </a:fld>
          <a:endParaRPr lang="ru-RU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30526</xdr:colOff>
      <xdr:row>25</xdr:row>
      <xdr:rowOff>150559</xdr:rowOff>
    </xdr:from>
    <xdr:to>
      <xdr:col>6</xdr:col>
      <xdr:colOff>521810</xdr:colOff>
      <xdr:row>26</xdr:row>
      <xdr:rowOff>173797</xdr:rowOff>
    </xdr:to>
    <xdr:sp macro="" textlink="ШиринаДвери">
      <xdr:nvSpPr>
        <xdr:cNvPr id="14" name="Прямоугольни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10800000" flipV="1">
          <a:off x="4258697" y="6550894"/>
          <a:ext cx="491284" cy="267171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3A23BAA-1351-4AB4-9FEA-574922F07675}" type="TxLink">
            <a:rPr lang="en-US" sz="1000" b="1" i="0" u="none" strike="noStrike">
              <a:solidFill>
                <a:srgbClr val="FF0000"/>
              </a:solidFill>
              <a:latin typeface="Calibri"/>
            </a:rPr>
            <a:pPr algn="ctr"/>
            <a:t>816</a:t>
          </a:fld>
          <a:endParaRPr lang="ru-RU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26139</xdr:colOff>
      <xdr:row>4</xdr:row>
      <xdr:rowOff>42530</xdr:rowOff>
    </xdr:from>
    <xdr:to>
      <xdr:col>11</xdr:col>
      <xdr:colOff>80719</xdr:colOff>
      <xdr:row>5</xdr:row>
      <xdr:rowOff>61845</xdr:rowOff>
    </xdr:to>
    <xdr:sp macro="" textlink="ширина_с_кромкой">
      <xdr:nvSpPr>
        <xdr:cNvPr id="16" name="Прямоугольни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10800000" flipV="1">
          <a:off x="6774359" y="793229"/>
          <a:ext cx="668055" cy="269548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B6ABE444-0408-4A0A-9C70-517FED5165D8}" type="TxLink">
            <a:rPr lang="en-US" sz="1000" b="1" i="0" u="none" strike="noStrike">
              <a:solidFill>
                <a:srgbClr val="FF0000"/>
              </a:solidFill>
              <a:latin typeface="Calibri"/>
            </a:rPr>
            <a:pPr algn="ctr"/>
            <a:t>524,5</a:t>
          </a:fld>
          <a:endParaRPr lang="ru-RU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28370</xdr:rowOff>
    </xdr:from>
    <xdr:to>
      <xdr:col>0</xdr:col>
      <xdr:colOff>21610</xdr:colOff>
      <xdr:row>19</xdr:row>
      <xdr:rowOff>398988</xdr:rowOff>
    </xdr:to>
    <xdr:sp macro="" textlink="ШиринаБоковиныМеньшей">
      <xdr:nvSpPr>
        <xdr:cNvPr id="17" name="Прямоугольни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5400000" flipV="1">
          <a:off x="175061" y="5010138"/>
          <a:ext cx="624618" cy="287681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4E9B911-CDAB-4711-B3FF-51A5D97447BD}" type="TxLink">
            <a:rPr lang="en-US" sz="1000" b="1" i="0" u="none" strike="noStrike">
              <a:solidFill>
                <a:srgbClr val="FF0000"/>
              </a:solidFill>
              <a:latin typeface="Calibri"/>
            </a:rPr>
            <a:pPr algn="ctr"/>
            <a:t>543</a:t>
          </a:fld>
          <a:endParaRPr lang="ru-RU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448405</xdr:colOff>
      <xdr:row>18</xdr:row>
      <xdr:rowOff>236671</xdr:rowOff>
    </xdr:from>
    <xdr:to>
      <xdr:col>9</xdr:col>
      <xdr:colOff>109742</xdr:colOff>
      <xdr:row>19</xdr:row>
      <xdr:rowOff>490056</xdr:rowOff>
    </xdr:to>
    <xdr:sp macro="" textlink="ШиринаБоковины">
      <xdr:nvSpPr>
        <xdr:cNvPr id="20" name="Прямоугольни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 rot="5400000" flipV="1">
          <a:off x="5768647" y="5057070"/>
          <a:ext cx="497318" cy="265361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B48A7EA-B46A-4397-9CAC-A9724067AFE3}" type="TxLink">
            <a:rPr lang="en-US" sz="1000" b="1" i="0" u="none" strike="noStrike">
              <a:solidFill>
                <a:srgbClr val="FF0000"/>
              </a:solidFill>
              <a:latin typeface="Calibri"/>
            </a:rPr>
            <a:pPr algn="ctr"/>
            <a:t>543</a:t>
          </a:fld>
          <a:endParaRPr lang="ru-RU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540876</xdr:colOff>
      <xdr:row>7</xdr:row>
      <xdr:rowOff>514522</xdr:rowOff>
    </xdr:from>
    <xdr:to>
      <xdr:col>5</xdr:col>
      <xdr:colOff>202213</xdr:colOff>
      <xdr:row>8</xdr:row>
      <xdr:rowOff>177459</xdr:rowOff>
    </xdr:to>
    <xdr:sp macro="" textlink="высотаВнутрСтойки">
      <xdr:nvSpPr>
        <xdr:cNvPr id="21" name="Прямоугольни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 rot="5400000" flipV="1">
          <a:off x="3444040" y="2095078"/>
          <a:ext cx="499278" cy="265361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33FC65F-2BE8-44B7-A63C-ACD7DEB0DCDE}" type="TxLink">
            <a:rPr lang="en-US" sz="1000" b="1" i="0" u="none" strike="noStrike">
              <a:solidFill>
                <a:srgbClr val="FF0000"/>
              </a:solidFill>
              <a:latin typeface="Calibri"/>
            </a:rPr>
            <a:pPr algn="ctr"/>
            <a:t>2504</a:t>
          </a:fld>
          <a:endParaRPr lang="ru-RU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613474</xdr:colOff>
      <xdr:row>3</xdr:row>
      <xdr:rowOff>23232</xdr:rowOff>
    </xdr:from>
    <xdr:to>
      <xdr:col>12</xdr:col>
      <xdr:colOff>355170</xdr:colOff>
      <xdr:row>3</xdr:row>
      <xdr:rowOff>185657</xdr:rowOff>
    </xdr:to>
    <xdr:sp macro="" textlink="Размер_EB">
      <xdr:nvSpPr>
        <xdr:cNvPr id="26" name="Прямоугольни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 rot="10800000" flipV="1">
          <a:off x="7975169" y="523698"/>
          <a:ext cx="355170" cy="16242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C309A37-5079-4EA7-97D9-794B526D6090}" type="TxLink">
            <a:rPr lang="en-US" sz="1000" b="1" i="0" u="none" strike="noStrike">
              <a:solidFill>
                <a:srgbClr val="FF0000"/>
              </a:solidFill>
              <a:latin typeface="Calibri"/>
            </a:rPr>
            <a:pPr algn="ctr"/>
            <a:t>32</a:t>
          </a:fld>
          <a:endParaRPr lang="ru-RU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63887</xdr:colOff>
      <xdr:row>2</xdr:row>
      <xdr:rowOff>37476</xdr:rowOff>
    </xdr:from>
    <xdr:to>
      <xdr:col>10</xdr:col>
      <xdr:colOff>560745</xdr:colOff>
      <xdr:row>3</xdr:row>
      <xdr:rowOff>2628</xdr:rowOff>
    </xdr:to>
    <xdr:sp macro="" textlink="Глубина_шкафа">
      <xdr:nvSpPr>
        <xdr:cNvPr id="27" name="Прямоугольни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 rot="10800000" flipV="1">
          <a:off x="6155457" y="203610"/>
          <a:ext cx="496858" cy="13128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6566078-0B8B-4147-9EE3-5639FA2C5258}" type="TxLink">
            <a:rPr lang="en-US" sz="1100" b="1" i="0" u="none" strike="noStrike">
              <a:solidFill>
                <a:srgbClr val="FF0000"/>
              </a:solidFill>
              <a:latin typeface="Calibri"/>
            </a:rPr>
            <a:pPr algn="ctr"/>
            <a:t>600</a:t>
          </a:fld>
          <a:endParaRPr lang="ru-RU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542926</xdr:colOff>
      <xdr:row>12</xdr:row>
      <xdr:rowOff>131053</xdr:rowOff>
    </xdr:from>
    <xdr:to>
      <xdr:col>13</xdr:col>
      <xdr:colOff>904875</xdr:colOff>
      <xdr:row>15</xdr:row>
      <xdr:rowOff>133350</xdr:rowOff>
    </xdr:to>
    <xdr:sp macro="" textlink="ВысотаДвери">
      <xdr:nvSpPr>
        <xdr:cNvPr id="28" name="Прямоугольни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 rot="5400000" flipV="1">
          <a:off x="8390377" y="2094352"/>
          <a:ext cx="516647" cy="36194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3E8FC4D-EAAE-4143-BA4E-3E5B442CD4D9}" type="TxLink">
            <a:rPr lang="en-US" sz="1050" b="1" i="0" u="none" strike="noStrike">
              <a:solidFill>
                <a:srgbClr val="FF0000"/>
              </a:solidFill>
              <a:latin typeface="Calibri"/>
            </a:rPr>
            <a:pPr algn="ctr"/>
            <a:t>2570</a:t>
          </a:fld>
          <a:endParaRPr lang="ru-RU" sz="1050" b="1" i="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330957</xdr:colOff>
      <xdr:row>41</xdr:row>
      <xdr:rowOff>74107</xdr:rowOff>
    </xdr:from>
    <xdr:to>
      <xdr:col>8</xdr:col>
      <xdr:colOff>359532</xdr:colOff>
      <xdr:row>76</xdr:row>
      <xdr:rowOff>119499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957" y="6932107"/>
          <a:ext cx="4905375" cy="61604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3</xdr:row>
      <xdr:rowOff>20601</xdr:rowOff>
    </xdr:from>
    <xdr:to>
      <xdr:col>13</xdr:col>
      <xdr:colOff>619125</xdr:colOff>
      <xdr:row>40</xdr:row>
      <xdr:rowOff>119173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E894FFF7-F808-4227-AC04-24170598D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52868"/>
          <a:ext cx="8528641" cy="6455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489737</xdr:colOff>
      <xdr:row>29</xdr:row>
      <xdr:rowOff>31679</xdr:rowOff>
    </xdr:from>
    <xdr:to>
      <xdr:col>9</xdr:col>
      <xdr:colOff>167818</xdr:colOff>
      <xdr:row>32</xdr:row>
      <xdr:rowOff>31085</xdr:rowOff>
    </xdr:to>
    <xdr:sp macro="" textlink="ШиринаБоковины">
      <xdr:nvSpPr>
        <xdr:cNvPr id="24" name="Прямоугольник 23">
          <a:extLst>
            <a:ext uri="{FF2B5EF4-FFF2-40B4-BE49-F238E27FC236}">
              <a16:creationId xmlns:a16="http://schemas.microsoft.com/office/drawing/2014/main" id="{02B31A7A-D46C-4FE6-B55A-AD4934DBFF4D}"/>
            </a:ext>
          </a:extLst>
        </xdr:cNvPr>
        <xdr:cNvSpPr/>
      </xdr:nvSpPr>
      <xdr:spPr>
        <a:xfrm rot="5400000" flipV="1">
          <a:off x="5257708" y="4999144"/>
          <a:ext cx="497807" cy="287238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47DF649-DE5D-4FC4-97C5-B42704ACF0B0}" type="TxLink">
            <a:rPr lang="en-US" sz="1050" b="1" i="0" u="none" strike="noStrike">
              <a:solidFill>
                <a:srgbClr val="FF0000"/>
              </a:solidFill>
              <a:latin typeface="Calibri"/>
              <a:cs typeface="Calibri"/>
            </a:rPr>
            <a:pPr algn="ctr"/>
            <a:t>543</a:t>
          </a:fld>
          <a:endParaRPr lang="ru-RU" sz="1050" b="1" i="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147748</xdr:colOff>
      <xdr:row>38</xdr:row>
      <xdr:rowOff>163292</xdr:rowOff>
    </xdr:from>
    <xdr:to>
      <xdr:col>10</xdr:col>
      <xdr:colOff>494467</xdr:colOff>
      <xdr:row>40</xdr:row>
      <xdr:rowOff>25473</xdr:rowOff>
    </xdr:to>
    <xdr:sp macro="" textlink="НаложениеА">
      <xdr:nvSpPr>
        <xdr:cNvPr id="30" name="Прямоугольник 29">
          <a:extLst>
            <a:ext uri="{FF2B5EF4-FFF2-40B4-BE49-F238E27FC236}">
              <a16:creationId xmlns:a16="http://schemas.microsoft.com/office/drawing/2014/main" id="{BD3F9089-35C9-469A-8E9C-1FD1CCDF89B3}"/>
            </a:ext>
          </a:extLst>
        </xdr:cNvPr>
        <xdr:cNvSpPr/>
      </xdr:nvSpPr>
      <xdr:spPr>
        <a:xfrm rot="10800000" flipV="1">
          <a:off x="6239318" y="6520676"/>
          <a:ext cx="346719" cy="194448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E3D93-A25A-41C0-8943-F356BFEEFD75}" type="TxLink">
            <a:rPr lang="en-US" sz="1100" b="1" i="0" u="none" strike="noStrike">
              <a:solidFill>
                <a:srgbClr val="FF0000"/>
              </a:solidFill>
              <a:latin typeface="Calibri"/>
              <a:cs typeface="Calibri"/>
            </a:rPr>
            <a:pPr algn="ctr"/>
            <a:t>17</a:t>
          </a:fld>
          <a:endParaRPr lang="ru-RU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144332</xdr:colOff>
      <xdr:row>52</xdr:row>
      <xdr:rowOff>28223</xdr:rowOff>
    </xdr:from>
    <xdr:to>
      <xdr:col>2</xdr:col>
      <xdr:colOff>31590</xdr:colOff>
      <xdr:row>53</xdr:row>
      <xdr:rowOff>25124</xdr:rowOff>
    </xdr:to>
    <xdr:sp macro="" textlink="$P$43">
      <xdr:nvSpPr>
        <xdr:cNvPr id="37" name="Прямоугольник 36">
          <a:extLst>
            <a:ext uri="{FF2B5EF4-FFF2-40B4-BE49-F238E27FC236}">
              <a16:creationId xmlns:a16="http://schemas.microsoft.com/office/drawing/2014/main" id="{0ADDC252-2EB6-4128-8DAD-F2EEAE387CB3}"/>
            </a:ext>
          </a:extLst>
        </xdr:cNvPr>
        <xdr:cNvSpPr/>
      </xdr:nvSpPr>
      <xdr:spPr>
        <a:xfrm rot="10800000" flipV="1">
          <a:off x="753489" y="8711479"/>
          <a:ext cx="496415" cy="16303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18EC939-1F40-4AB8-9CC9-B855E7F689F8}" type="TxLink">
            <a:rPr lang="en-US" sz="1050" b="1" i="0" u="none" strike="noStrike">
              <a:solidFill>
                <a:srgbClr val="FF0000"/>
              </a:solidFill>
              <a:latin typeface="Calibri"/>
              <a:cs typeface="Calibri"/>
            </a:rPr>
            <a:pPr algn="ctr"/>
            <a:t> </a:t>
          </a:fld>
          <a:endParaRPr lang="ru-RU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196703</xdr:colOff>
      <xdr:row>39</xdr:row>
      <xdr:rowOff>25661</xdr:rowOff>
    </xdr:from>
    <xdr:to>
      <xdr:col>0</xdr:col>
      <xdr:colOff>558653</xdr:colOff>
      <xdr:row>40</xdr:row>
      <xdr:rowOff>85725</xdr:rowOff>
    </xdr:to>
    <xdr:sp macro="" textlink="НаложениеА">
      <xdr:nvSpPr>
        <xdr:cNvPr id="38" name="Прямоугольник 37">
          <a:extLst>
            <a:ext uri="{FF2B5EF4-FFF2-40B4-BE49-F238E27FC236}">
              <a16:creationId xmlns:a16="http://schemas.microsoft.com/office/drawing/2014/main" id="{C3E405F2-AEBF-40EA-847D-41C06869C41C}"/>
            </a:ext>
          </a:extLst>
        </xdr:cNvPr>
        <xdr:cNvSpPr/>
      </xdr:nvSpPr>
      <xdr:spPr>
        <a:xfrm rot="10800000" flipV="1">
          <a:off x="196703" y="6549178"/>
          <a:ext cx="361950" cy="226198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E3D93-A25A-41C0-8943-F356BFEEFD75}" type="TxLink">
            <a:rPr lang="en-US" sz="1100" b="1" i="0" u="none" strike="noStrike">
              <a:solidFill>
                <a:srgbClr val="FF0000"/>
              </a:solidFill>
              <a:latin typeface="Calibri"/>
              <a:cs typeface="Calibri"/>
            </a:rPr>
            <a:pPr algn="ctr"/>
            <a:t>17</a:t>
          </a:fld>
          <a:endParaRPr lang="ru-RU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103940</xdr:colOff>
      <xdr:row>28</xdr:row>
      <xdr:rowOff>161565</xdr:rowOff>
    </xdr:from>
    <xdr:to>
      <xdr:col>10</xdr:col>
      <xdr:colOff>317576</xdr:colOff>
      <xdr:row>30</xdr:row>
      <xdr:rowOff>158389</xdr:rowOff>
    </xdr:to>
    <xdr:sp macro="" textlink="Высота_цоколя">
      <xdr:nvSpPr>
        <xdr:cNvPr id="39" name="Прямоугольник 38">
          <a:extLst>
            <a:ext uri="{FF2B5EF4-FFF2-40B4-BE49-F238E27FC236}">
              <a16:creationId xmlns:a16="http://schemas.microsoft.com/office/drawing/2014/main" id="{E86F217C-1218-44DE-B073-88D1CA162C76}"/>
            </a:ext>
          </a:extLst>
        </xdr:cNvPr>
        <xdr:cNvSpPr/>
      </xdr:nvSpPr>
      <xdr:spPr>
        <a:xfrm rot="5400000" flipV="1">
          <a:off x="6137782" y="4915340"/>
          <a:ext cx="329091" cy="213636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5A46C4C-EE72-44F8-B39D-2D0B8C3A26ED}" type="TxLink">
            <a:rPr lang="en-US" sz="1100" b="1" i="0" u="none" strike="noStrike">
              <a:solidFill>
                <a:srgbClr val="FF0000"/>
              </a:solidFill>
              <a:latin typeface="Calibri"/>
              <a:cs typeface="Calibri"/>
            </a:rPr>
            <a:pPr algn="ctr"/>
            <a:t>60</a:t>
          </a:fld>
          <a:endParaRPr lang="ru-RU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141962</xdr:colOff>
      <xdr:row>4</xdr:row>
      <xdr:rowOff>139777</xdr:rowOff>
    </xdr:from>
    <xdr:to>
      <xdr:col>10</xdr:col>
      <xdr:colOff>476250</xdr:colOff>
      <xdr:row>5</xdr:row>
      <xdr:rowOff>120728</xdr:rowOff>
    </xdr:to>
    <xdr:sp macro="" textlink="Размер_EB">
      <xdr:nvSpPr>
        <xdr:cNvPr id="40" name="Прямоугольник 39">
          <a:extLst>
            <a:ext uri="{FF2B5EF4-FFF2-40B4-BE49-F238E27FC236}">
              <a16:creationId xmlns:a16="http://schemas.microsoft.com/office/drawing/2014/main" id="{1E55E066-9A4B-4CC7-9E79-2E934AAFF8FD}"/>
            </a:ext>
          </a:extLst>
        </xdr:cNvPr>
        <xdr:cNvSpPr/>
      </xdr:nvSpPr>
      <xdr:spPr>
        <a:xfrm rot="10800000" flipV="1">
          <a:off x="6233532" y="638178"/>
          <a:ext cx="334288" cy="14708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06C735E-C93F-4797-B970-AF5707B79012}" type="TxLink">
            <a:rPr lang="en-US" sz="1100" b="1" i="0" u="none" strike="noStrike">
              <a:solidFill>
                <a:srgbClr val="FF0000"/>
              </a:solidFill>
              <a:latin typeface="Calibri"/>
              <a:cs typeface="Calibri"/>
            </a:rPr>
            <a:pPr algn="ctr"/>
            <a:t>32</a:t>
          </a:fld>
          <a:endParaRPr lang="ru-RU" sz="1100" b="1" i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188038</xdr:colOff>
      <xdr:row>13</xdr:row>
      <xdr:rowOff>19312</xdr:rowOff>
    </xdr:from>
    <xdr:to>
      <xdr:col>0</xdr:col>
      <xdr:colOff>398724</xdr:colOff>
      <xdr:row>16</xdr:row>
      <xdr:rowOff>21609</xdr:rowOff>
    </xdr:to>
    <xdr:sp macro="" textlink="Высота_шкафа">
      <xdr:nvSpPr>
        <xdr:cNvPr id="31" name="Прямоугольник 30">
          <a:extLst>
            <a:ext uri="{FF2B5EF4-FFF2-40B4-BE49-F238E27FC236}">
              <a16:creationId xmlns:a16="http://schemas.microsoft.com/office/drawing/2014/main" id="{B0B6BF7F-FF70-493C-A3BD-8A2AD9D35743}"/>
            </a:ext>
          </a:extLst>
        </xdr:cNvPr>
        <xdr:cNvSpPr/>
      </xdr:nvSpPr>
      <xdr:spPr>
        <a:xfrm rot="5400000" flipV="1">
          <a:off x="43031" y="2534493"/>
          <a:ext cx="500699" cy="210686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34D4749-2885-47D2-AC52-4E45F4AB1436}" type="TxLink">
            <a:rPr lang="en-US" sz="1100" b="1" i="0" u="none" strike="noStrike">
              <a:solidFill>
                <a:srgbClr val="FF0000"/>
              </a:solidFill>
              <a:latin typeface="Calibri"/>
              <a:cs typeface="Calibri"/>
            </a:rPr>
            <a:pPr algn="ctr"/>
            <a:t>2600</a:t>
          </a:fld>
          <a:endParaRPr lang="ru-RU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196010</xdr:colOff>
      <xdr:row>28</xdr:row>
      <xdr:rowOff>101936</xdr:rowOff>
    </xdr:from>
    <xdr:to>
      <xdr:col>0</xdr:col>
      <xdr:colOff>454099</xdr:colOff>
      <xdr:row>31</xdr:row>
      <xdr:rowOff>101342</xdr:rowOff>
    </xdr:to>
    <xdr:sp macro="" textlink="ШиринаБоковиныМеньшей">
      <xdr:nvSpPr>
        <xdr:cNvPr id="33" name="Прямоугольник 32">
          <a:extLst>
            <a:ext uri="{FF2B5EF4-FFF2-40B4-BE49-F238E27FC236}">
              <a16:creationId xmlns:a16="http://schemas.microsoft.com/office/drawing/2014/main" id="{B78EA484-C6A6-4626-AC76-F8CB11E3C43C}"/>
            </a:ext>
          </a:extLst>
        </xdr:cNvPr>
        <xdr:cNvSpPr/>
      </xdr:nvSpPr>
      <xdr:spPr>
        <a:xfrm rot="5400000" flipV="1">
          <a:off x="76151" y="5083975"/>
          <a:ext cx="497807" cy="25808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B61147-1678-4DA9-8CBF-28A1A219BDE4}" type="TxLink">
            <a:rPr lang="en-US" sz="1050" b="1" i="0" u="none" strike="noStrike">
              <a:solidFill>
                <a:srgbClr val="FF0000"/>
              </a:solidFill>
              <a:latin typeface="Calibri"/>
              <a:cs typeface="Calibri"/>
            </a:rPr>
            <a:pPr algn="ctr"/>
            <a:t>543</a:t>
          </a:fld>
          <a:endParaRPr lang="ru-RU" sz="1050" b="1" i="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197607</xdr:colOff>
      <xdr:row>52</xdr:row>
      <xdr:rowOff>26482</xdr:rowOff>
    </xdr:from>
    <xdr:to>
      <xdr:col>8</xdr:col>
      <xdr:colOff>84865</xdr:colOff>
      <xdr:row>53</xdr:row>
      <xdr:rowOff>23383</xdr:rowOff>
    </xdr:to>
    <xdr:sp macro="" textlink="$P$43">
      <xdr:nvSpPr>
        <xdr:cNvPr id="34" name="Прямоугольник 33">
          <a:extLst>
            <a:ext uri="{FF2B5EF4-FFF2-40B4-BE49-F238E27FC236}">
              <a16:creationId xmlns:a16="http://schemas.microsoft.com/office/drawing/2014/main" id="{57FB0DAC-B51A-45F9-AE38-BE594CFA23B8}"/>
            </a:ext>
          </a:extLst>
        </xdr:cNvPr>
        <xdr:cNvSpPr/>
      </xdr:nvSpPr>
      <xdr:spPr>
        <a:xfrm rot="10800000" flipV="1">
          <a:off x="4464807" y="8770432"/>
          <a:ext cx="496858" cy="168351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18EC939-1F40-4AB8-9CC9-B855E7F689F8}" type="TxLink">
            <a:rPr lang="en-US" sz="1050" b="1" i="0" u="none" strike="noStrike">
              <a:solidFill>
                <a:srgbClr val="FF0000"/>
              </a:solidFill>
              <a:latin typeface="Calibri"/>
              <a:cs typeface="Calibri"/>
            </a:rPr>
            <a:pPr algn="ctr"/>
            <a:t> </a:t>
          </a:fld>
          <a:endParaRPr lang="ru-RU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149982</xdr:colOff>
      <xdr:row>63</xdr:row>
      <xdr:rowOff>169357</xdr:rowOff>
    </xdr:from>
    <xdr:to>
      <xdr:col>2</xdr:col>
      <xdr:colOff>37240</xdr:colOff>
      <xdr:row>64</xdr:row>
      <xdr:rowOff>166258</xdr:rowOff>
    </xdr:to>
    <xdr:sp macro="" textlink="$P$47">
      <xdr:nvSpPr>
        <xdr:cNvPr id="36" name="Прямоугольник 35">
          <a:extLst>
            <a:ext uri="{FF2B5EF4-FFF2-40B4-BE49-F238E27FC236}">
              <a16:creationId xmlns:a16="http://schemas.microsoft.com/office/drawing/2014/main" id="{2B04E1D1-9453-4C7D-BDDD-74013493F40A}"/>
            </a:ext>
          </a:extLst>
        </xdr:cNvPr>
        <xdr:cNvSpPr/>
      </xdr:nvSpPr>
      <xdr:spPr>
        <a:xfrm rot="10800000" flipV="1">
          <a:off x="759582" y="10799257"/>
          <a:ext cx="496858" cy="168351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5F6005E-CBAD-432E-9523-F522F2955276}" type="TxLink">
            <a:rPr lang="en-US" sz="1050" b="1" i="0" u="none" strike="noStrike">
              <a:solidFill>
                <a:srgbClr val="FF0000"/>
              </a:solidFill>
              <a:latin typeface="Calibri"/>
              <a:cs typeface="Calibri"/>
            </a:rPr>
            <a:pPr algn="ctr"/>
            <a:t>740</a:t>
          </a:fld>
          <a:endParaRPr lang="ru-RU" sz="105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watch?v=9B4SdvLWrhM" TargetMode="External"/><Relationship Id="rId3" Type="http://schemas.openxmlformats.org/officeDocument/2006/relationships/hyperlink" Target="https://web2.hettich.com/hbh/addon/montage/MTA_928857800_2trg_TL_L2_FL.pdf;jsessionid=C20D22822EFC2A8438C2A1A988DAE107" TargetMode="External"/><Relationship Id="rId7" Type="http://schemas.openxmlformats.org/officeDocument/2006/relationships/hyperlink" Target="https://web2.hettich.com/hbh/addon/montage/MTA_924261303.pdf;jsessionid=EC9456DE8B233F31A560ABCA6AA75E1F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web2.hettich.com/hbh/addon/montage/MTA_928056301_2trg_TL_L2_FR.pdf;jsessionid=102F42BD6A04CE5351E10C362B1ACBA9" TargetMode="External"/><Relationship Id="rId1" Type="http://schemas.openxmlformats.org/officeDocument/2006/relationships/hyperlink" Target="https://e.video-cdn.net/video?video-id=2EpnesYX8AsL_x_gR7TW8v&amp;player-id=FGhvj8LmxVxFHkxk72_URD" TargetMode="External"/><Relationship Id="rId6" Type="http://schemas.openxmlformats.org/officeDocument/2006/relationships/hyperlink" Target="https://web2.hettich.com/hbh/addon/montage/MTA_928857900_TL_L_LH_OP_3trg.pdf;jsessionid=BA3EE95AB9D9989CCB55F7571CAB1BDB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eb2.hettich.com/hbh/addon/montage/MTA_928857901_TL_L_LH_OP_3trg.pdf;jsessionid=6FA9FB90FBF8DA81F47250D1D40EBD5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eb2.hettich.com/hbh/addon/montage/MTA_924261203.pdf;jsessionid=8169B6726C3740E67F0122F9A85D5FF3" TargetMode="External"/><Relationship Id="rId9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7"/>
  <sheetViews>
    <sheetView showGridLines="0" tabSelected="1" topLeftCell="A22" zoomScale="86" zoomScaleNormal="86" workbookViewId="0">
      <selection activeCell="K59" sqref="K59"/>
    </sheetView>
  </sheetViews>
  <sheetFormatPr defaultRowHeight="12.75" x14ac:dyDescent="0.25"/>
  <cols>
    <col min="1" max="13" width="9.140625" style="1"/>
    <col min="14" max="14" width="11.85546875" style="1" customWidth="1"/>
    <col min="15" max="15" width="62.140625" style="2" customWidth="1"/>
    <col min="16" max="16" width="20.140625" style="35" customWidth="1"/>
    <col min="17" max="17" width="55.140625" style="1" customWidth="1"/>
    <col min="18" max="18" width="18.85546875" style="1" customWidth="1"/>
    <col min="19" max="31" width="20.7109375" style="1" customWidth="1"/>
    <col min="32" max="16384" width="9.140625" style="1"/>
  </cols>
  <sheetData>
    <row r="1" spans="1:18" s="2" customFormat="1" ht="13.5" customHeight="1" x14ac:dyDescent="0.25">
      <c r="A1" s="19"/>
      <c r="B1" s="4"/>
      <c r="C1" s="4"/>
      <c r="D1" s="4"/>
      <c r="E1" s="4"/>
      <c r="F1" s="22"/>
      <c r="G1" s="4"/>
      <c r="H1" s="4"/>
      <c r="I1" s="4"/>
      <c r="J1" s="4"/>
      <c r="K1" s="4"/>
      <c r="L1" s="4"/>
      <c r="M1" s="4"/>
      <c r="N1" s="4"/>
      <c r="O1" s="18" t="s">
        <v>28</v>
      </c>
      <c r="P1" s="26">
        <v>2600</v>
      </c>
      <c r="Q1" s="4"/>
      <c r="R1" s="5"/>
    </row>
    <row r="2" spans="1:18" s="2" customFormat="1" ht="13.5" customHeight="1" x14ac:dyDescent="0.25">
      <c r="A2" s="38"/>
      <c r="B2" s="12"/>
      <c r="C2" s="12"/>
      <c r="D2" s="12"/>
      <c r="E2" s="12"/>
      <c r="F2" s="39"/>
      <c r="G2" s="12"/>
      <c r="H2" s="12"/>
      <c r="I2" s="12"/>
      <c r="J2" s="12"/>
      <c r="K2" s="12"/>
      <c r="L2" s="12"/>
      <c r="M2" s="12"/>
      <c r="N2" s="12"/>
      <c r="O2" s="25" t="s">
        <v>74</v>
      </c>
      <c r="P2" s="42">
        <f>Высота_шкафа+40</f>
        <v>2640</v>
      </c>
      <c r="Q2" s="12"/>
      <c r="R2" s="40"/>
    </row>
    <row r="3" spans="1:18" ht="14.1" customHeight="1" x14ac:dyDescent="0.25">
      <c r="A3" s="20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8" t="s">
        <v>30</v>
      </c>
      <c r="P3" s="27">
        <v>600</v>
      </c>
      <c r="Q3" s="3"/>
      <c r="R3" s="6"/>
    </row>
    <row r="4" spans="1:18" ht="14.1" customHeight="1" x14ac:dyDescent="0.25">
      <c r="A4" s="20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8" t="s">
        <v>29</v>
      </c>
      <c r="P4" s="28">
        <v>2400</v>
      </c>
      <c r="Q4" s="3"/>
      <c r="R4" s="6"/>
    </row>
    <row r="5" spans="1:18" ht="14.1" customHeight="1" x14ac:dyDescent="0.25">
      <c r="A5" s="20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8" t="s">
        <v>26</v>
      </c>
      <c r="P5" s="28">
        <v>18</v>
      </c>
      <c r="Q5" s="3"/>
      <c r="R5" s="6"/>
    </row>
    <row r="6" spans="1:18" ht="14.1" customHeight="1" x14ac:dyDescent="0.25">
      <c r="A6" s="20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8" t="s">
        <v>27</v>
      </c>
      <c r="P6" s="28">
        <v>18</v>
      </c>
      <c r="Q6" s="3"/>
      <c r="R6" s="6"/>
    </row>
    <row r="7" spans="1:18" ht="14.1" customHeight="1" x14ac:dyDescent="0.25">
      <c r="A7" s="20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18" t="s">
        <v>32</v>
      </c>
      <c r="P7" s="28">
        <v>18</v>
      </c>
      <c r="Q7" s="3"/>
      <c r="R7" s="6"/>
    </row>
    <row r="8" spans="1:18" ht="29.25" customHeight="1" x14ac:dyDescent="0.25">
      <c r="A8" s="20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6" t="s">
        <v>36</v>
      </c>
      <c r="P8" s="28">
        <v>17</v>
      </c>
      <c r="Q8" s="13"/>
      <c r="R8" s="6"/>
    </row>
    <row r="9" spans="1:18" ht="14.1" customHeight="1" x14ac:dyDescent="0.25">
      <c r="A9" s="20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8" t="s">
        <v>18</v>
      </c>
      <c r="P9" s="28">
        <v>19</v>
      </c>
      <c r="Q9" s="14">
        <f>IF(Толщина_двери="Профиль Connect - О+С+Р+З",36,IF(Толщина_двери="Профиль Connect - О+О",21,Толщина_двери))</f>
        <v>19</v>
      </c>
      <c r="R9" s="6"/>
    </row>
    <row r="10" spans="1:18" ht="14.1" customHeight="1" x14ac:dyDescent="0.25">
      <c r="A10" s="20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8" t="s">
        <v>19</v>
      </c>
      <c r="P10" s="30">
        <f>IF(AND(Толщина_двери&gt;0,Толщина_двери&lt;=12),24,IF(AND(Толщина_двери&gt;12,Толщина_двери&lt;=16),29,IF(AND(Толщина_двери&gt;16,Толщина_двери&lt;=20),32,IF(AND(Толщина_двери&gt;20,Толщина_двери&lt;=25),36,IF(AND(Толщина_двери&gt;25,Толщина_двери&lt;=30),42,IF(AND(Толщина_двери&gt;30,Толщина_двери&lt;=35),47,IF(AND(Толщина_двери&gt;35,Толщина_двери&lt;=40),52,IF(AND(Толщина_двери&gt;40,Толщина_двери&lt;=50),62,"ошибка"))))))))</f>
        <v>32</v>
      </c>
      <c r="Q10" s="3"/>
      <c r="R10" s="6"/>
    </row>
    <row r="11" spans="1:18" ht="14.1" customHeight="1" x14ac:dyDescent="0.25">
      <c r="A11" s="20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8" t="s">
        <v>2</v>
      </c>
      <c r="P11" s="28" t="s">
        <v>4</v>
      </c>
      <c r="Q11" s="3"/>
      <c r="R11" s="6"/>
    </row>
    <row r="12" spans="1:18" ht="14.1" customHeight="1" x14ac:dyDescent="0.25">
      <c r="A12" s="2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8" t="s">
        <v>47</v>
      </c>
      <c r="P12" s="28" t="s">
        <v>45</v>
      </c>
      <c r="Q12" s="3"/>
      <c r="R12" s="6"/>
    </row>
    <row r="13" spans="1:18" ht="14.1" customHeight="1" x14ac:dyDescent="0.25">
      <c r="A13" s="2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18" t="s">
        <v>20</v>
      </c>
      <c r="P13" s="28">
        <v>60</v>
      </c>
      <c r="Q13" s="3"/>
      <c r="R13" s="15"/>
    </row>
    <row r="14" spans="1:18" ht="14.1" customHeight="1" x14ac:dyDescent="0.25">
      <c r="A14" s="2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18" t="s">
        <v>1</v>
      </c>
      <c r="P14" s="28" t="s">
        <v>7</v>
      </c>
      <c r="Q14" s="3"/>
      <c r="R14" s="6"/>
    </row>
    <row r="15" spans="1:18" ht="14.1" customHeight="1" x14ac:dyDescent="0.25">
      <c r="A15" s="2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18" t="s">
        <v>12</v>
      </c>
      <c r="P15" s="28" t="s">
        <v>14</v>
      </c>
      <c r="Q15" s="3"/>
      <c r="R15" s="6"/>
    </row>
    <row r="16" spans="1:18" ht="14.1" customHeight="1" x14ac:dyDescent="0.25">
      <c r="A16" s="2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12"/>
      <c r="P16" s="13"/>
      <c r="Q16" s="12"/>
      <c r="R16" s="15"/>
    </row>
    <row r="17" spans="1:18" ht="14.1" customHeight="1" x14ac:dyDescent="0.25">
      <c r="A17" s="2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8" t="s">
        <v>0</v>
      </c>
      <c r="P17" s="31"/>
      <c r="Q17" s="3"/>
      <c r="R17" s="15"/>
    </row>
    <row r="18" spans="1:18" ht="14.1" customHeight="1" x14ac:dyDescent="0.25">
      <c r="A18" s="2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8" t="s">
        <v>9</v>
      </c>
      <c r="P18" s="30">
        <f>IFERROR(CEILING(IF(AND(Кол_воДверей="2-х дверный",ДвериТип="Двери_накладные",НаложениеА&gt;0),((Ширина_шкафа-Толщина_меньшей_боковины-Толщина_большей_боковины)+2*НаложениеА)*0.5+12,IF(AND(Кол_воДверей="2-х дверный",ДвериТип="Двери_внутренние",НаложениеА&lt;=0),((Ширина_шкафа-Толщина_меньшей_боковины-Толщина_большей_боковины)+2*НаложениеА)*0.5+12,IF(AND(Кол_воДверей="3-х дверный",ДвериТип="Двери_накладные",НаложениеА&gt;0),((Ширина_шкафа-Толщина_меньшей_боковины-Толщина_большей_боковины)+2*НаложениеА)/3+16,IF(AND(Кол_воДверей="3-х дверный",ДвериТип="Двери_внутренние",НаложениеА&lt;=0),((Ширина_шкафа-Толщина_меньшей_боковины-Толщина_большей_боковины)+2*НаложениеА)/3+16,"ошибка")))),1),"ошибка")</f>
        <v>816</v>
      </c>
      <c r="Q18" s="3"/>
      <c r="R18" s="6"/>
    </row>
    <row r="19" spans="1:18" ht="14.1" customHeight="1" x14ac:dyDescent="0.25">
      <c r="A19" s="2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8" t="s">
        <v>10</v>
      </c>
      <c r="P19" s="30">
        <f>IFERROR(IF(Высота_цоколя&gt;=60,Высота_шкафа-Высота_цоколя+30,"цоколь мин.60"),"ошибка")</f>
        <v>2570</v>
      </c>
      <c r="Q19" s="3"/>
      <c r="R19" s="6"/>
    </row>
    <row r="20" spans="1:18" ht="14.1" customHeight="1" x14ac:dyDescent="0.25">
      <c r="A20" s="2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8" t="s">
        <v>17</v>
      </c>
      <c r="P20" s="32">
        <f>IFERROR(IF(Материал_двери__ДСП_или_МДФ="ДСП",(ШиринаДвери*ВысотаДвери*Толщина_двери)/(1000*1000*1000)*671,IF(Материал_двери__ДСП_или_МДФ="МДФ",(ШиринаДвери*ВысотаДвери*Толщина_двери)/(1000*1000*1000)*750,IF(Материал_двери__ДСП_или_МДФ="Стекло",(ШиринаДвери*ВысотаДвери*Толщина_двери)/(1000*1000*1000)*2500,""))),"")</f>
        <v>29.883959999999998</v>
      </c>
      <c r="Q20" s="3"/>
      <c r="R20" s="6"/>
    </row>
    <row r="21" spans="1:18" ht="14.1" customHeight="1" x14ac:dyDescent="0.25">
      <c r="A21" s="2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2"/>
      <c r="P21" s="13"/>
      <c r="Q21" s="3"/>
      <c r="R21" s="6"/>
    </row>
    <row r="22" spans="1:18" ht="14.1" customHeight="1" x14ac:dyDescent="0.25">
      <c r="A22" s="2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8" t="s">
        <v>21</v>
      </c>
      <c r="P22" s="31"/>
      <c r="Q22" s="3"/>
      <c r="R22" s="6"/>
    </row>
    <row r="23" spans="1:18" ht="14.1" customHeight="1" x14ac:dyDescent="0.25">
      <c r="A23" s="2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8" t="s">
        <v>23</v>
      </c>
      <c r="P23" s="30">
        <f>IFERROR(IF(AND(Кол_воДверей="2-х дверный",ДвериТип="двери_накладные"),Глубина_шкафа-ТОЛЩИНАнов-Размер_EB-24.5,IF(AND(Кол_воДверей="2-х дверный",ДвериТип="двери_внутренние"),Глубина_шкафа-ТОЛЩИНАнов-Размер_EB-24.5,IF(AND(Кол_воДверей="3-х дверный",ДвериТип="двери_накладные"),Глубина_шкафа-ТОЛЩИНАнов-Размер_EB-24.5,IF(AND(Кол_воДверей="3-х дверный",ДвериТип="двери_внутренние"),Глубина_шкафа-ТОЛЩИНАнов-Размер_EB-24.5,"ошибка")))),"ошибка")</f>
        <v>524.5</v>
      </c>
      <c r="Q23" s="3"/>
      <c r="R23" s="6"/>
    </row>
    <row r="24" spans="1:18" ht="14.1" customHeight="1" x14ac:dyDescent="0.25">
      <c r="A24" s="2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8" t="s">
        <v>9</v>
      </c>
      <c r="P24" s="30">
        <f>IFERROR(Ширина_шкафа-Толщина_меньшей_боковины-Толщина_большей_боковины,"ошибка")</f>
        <v>2364</v>
      </c>
      <c r="Q24" s="3"/>
      <c r="R24" s="6"/>
    </row>
    <row r="25" spans="1:18" ht="14.1" customHeight="1" x14ac:dyDescent="0.25">
      <c r="A25" s="2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2"/>
      <c r="P25" s="33"/>
      <c r="Q25" s="3"/>
      <c r="R25" s="6"/>
    </row>
    <row r="26" spans="1:18" ht="14.1" customHeight="1" x14ac:dyDescent="0.25">
      <c r="A26" s="2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18" t="s">
        <v>22</v>
      </c>
      <c r="P26" s="31"/>
      <c r="Q26" s="3"/>
      <c r="R26" s="6"/>
    </row>
    <row r="27" spans="1:18" ht="14.1" customHeight="1" x14ac:dyDescent="0.25">
      <c r="A27" s="2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8" t="s">
        <v>23</v>
      </c>
      <c r="P27" s="30">
        <f>IF(AND(Кол_воДверей="2-х дверный",ДвериТип="двери_накладные"),Глубина_шкафа-ТОЛЩИНАнов-Размер_EB-8,IF(AND(Кол_воДверей="2-х дверный",ДвериТип="двери_внутренние"),Глубина_шкафа-ТОЛЩИНАнов-Размер_EB-8,IF(AND(Кол_воДверей="3-х дверный",ДвериТип="двери_накладные"),Глубина_шкафа-ТОЛЩИНАнов-Размер_EB-8,IF(AND(Кол_воДверей="3-х дверный",ДвериТип="двери_внутренние"),Глубина_шкафа-ТОЛЩИНАнов-Размер_EB-8,"ошибка"))))</f>
        <v>541</v>
      </c>
      <c r="Q27" s="3"/>
      <c r="R27" s="6"/>
    </row>
    <row r="28" spans="1:18" ht="14.1" customHeight="1" x14ac:dyDescent="0.25">
      <c r="A28" s="2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18" t="s">
        <v>9</v>
      </c>
      <c r="P28" s="30">
        <f>IFERROR(Ширина_шкафа-Толщина_меньшей_боковины-Толщина_большей_боковины,"ошибка")</f>
        <v>2364</v>
      </c>
      <c r="Q28" s="3"/>
      <c r="R28" s="6"/>
    </row>
    <row r="29" spans="1:18" ht="14.1" customHeight="1" x14ac:dyDescent="0.25">
      <c r="A29" s="2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12"/>
      <c r="P29" s="13"/>
      <c r="Q29" s="3"/>
      <c r="R29" s="6"/>
    </row>
    <row r="30" spans="1:18" ht="14.1" customHeight="1" x14ac:dyDescent="0.25">
      <c r="A30" s="2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8" t="s">
        <v>25</v>
      </c>
      <c r="P30" s="31"/>
      <c r="Q30" s="3"/>
      <c r="R30" s="6"/>
    </row>
    <row r="31" spans="1:18" ht="14.1" customHeight="1" x14ac:dyDescent="0.25">
      <c r="A31" s="2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8" t="s">
        <v>23</v>
      </c>
      <c r="P31" s="30">
        <f>IFERROR(IF(AND(Кол_воДверей="2-х дверный",ДвериТип="двери_накладные"),Глубина_шкафа-ТОЛЩИНАнов-6,IF(AND(Кол_воДверей="2-х дверный",ДвериТип="двери_внутренние"),Глубина_шкафа,IF(AND(Кол_воДверей="3-х дверный",ДвериТип="двери_накладные"),Глубина_шкафа-ТОЛЩИНАнов-Размер_EB-6,IF(AND(Кол_воДверей="3-х дверный",ДвериТип="двери_внутренние"),Глубина_шкафа-Размер_EB,"ошибка")))),"ошибка")</f>
        <v>543</v>
      </c>
      <c r="Q31" s="3"/>
      <c r="R31" s="6"/>
    </row>
    <row r="32" spans="1:18" ht="14.1" customHeight="1" x14ac:dyDescent="0.25">
      <c r="A32" s="2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8" t="s">
        <v>10</v>
      </c>
      <c r="P32" s="30">
        <f>Высота_шкафа</f>
        <v>2600</v>
      </c>
      <c r="Q32" s="3"/>
      <c r="R32" s="6"/>
    </row>
    <row r="33" spans="1:18" ht="14.1" customHeight="1" x14ac:dyDescent="0.25">
      <c r="A33" s="2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2"/>
      <c r="P33" s="13"/>
      <c r="Q33" s="3"/>
      <c r="R33" s="6"/>
    </row>
    <row r="34" spans="1:18" ht="14.1" customHeight="1" x14ac:dyDescent="0.25">
      <c r="A34" s="2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18" t="s">
        <v>24</v>
      </c>
      <c r="P34" s="31"/>
      <c r="Q34" s="3"/>
      <c r="R34" s="6"/>
    </row>
    <row r="35" spans="1:18" ht="14.1" customHeight="1" x14ac:dyDescent="0.25">
      <c r="A35" s="2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8" t="s">
        <v>23</v>
      </c>
      <c r="P35" s="30">
        <f>IFERROR(IF(AND(Кол_воДверей="2-х дверный",ДвериТип="двери_накладные"),Глубина_шкафа-ТОЛЩИНАнов-Размер_EB-6,IF(AND(Кол_воДверей="2-х дверный",ДвериТип="двери_внутренние"),Глубина_шкафа-Размер_EB,IF(AND(Кол_воДверей="3-х дверный",ДвериТип="двери_накладные"),Глубина_шкафа-ТОЛЩИНАнов-Размер_EB-6,IF(AND(Кол_воДверей="3-х дверный",ДвериТип="двери_внутренние"),Глубина_шкафа-Размер_EB,"ошибка")))),"ошибка")</f>
        <v>543</v>
      </c>
      <c r="Q35" s="3"/>
      <c r="R35" s="6"/>
    </row>
    <row r="36" spans="1:18" ht="14.1" customHeight="1" x14ac:dyDescent="0.25">
      <c r="A36" s="2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8" t="s">
        <v>10</v>
      </c>
      <c r="P36" s="30">
        <f>Высота_шкафа</f>
        <v>2600</v>
      </c>
      <c r="Q36" s="3"/>
      <c r="R36" s="6"/>
    </row>
    <row r="37" spans="1:18" ht="14.1" customHeight="1" x14ac:dyDescent="0.25">
      <c r="A37" s="2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2"/>
      <c r="P37" s="13"/>
      <c r="Q37" s="3"/>
      <c r="R37" s="6"/>
    </row>
    <row r="38" spans="1:18" ht="14.1" customHeight="1" x14ac:dyDescent="0.25">
      <c r="A38" s="2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18" t="s">
        <v>31</v>
      </c>
      <c r="P38" s="30"/>
      <c r="Q38" s="3"/>
      <c r="R38" s="6"/>
    </row>
    <row r="39" spans="1:18" ht="14.1" customHeight="1" x14ac:dyDescent="0.25">
      <c r="A39" s="2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8" t="s">
        <v>23</v>
      </c>
      <c r="P39" s="30">
        <f>ширина_с_кромкой</f>
        <v>524.5</v>
      </c>
      <c r="Q39" s="3"/>
      <c r="R39" s="6"/>
    </row>
    <row r="40" spans="1:18" ht="14.1" customHeight="1" x14ac:dyDescent="0.25">
      <c r="A40" s="2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8" t="s">
        <v>35</v>
      </c>
      <c r="P40" s="30">
        <f>IFERROR((Высота_шкафа-2*Толщина_крыши-Высота_цоколя),"ошибка")</f>
        <v>2504</v>
      </c>
      <c r="Q40" s="3"/>
      <c r="R40" s="6"/>
    </row>
    <row r="41" spans="1:18" ht="14.1" customHeight="1" x14ac:dyDescent="0.25">
      <c r="A41" s="2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2"/>
      <c r="P41" s="33"/>
      <c r="Q41" s="3"/>
      <c r="R41" s="6"/>
    </row>
    <row r="42" spans="1:18" ht="14.1" customHeight="1" x14ac:dyDescent="0.25">
      <c r="A42" s="2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6" t="s">
        <v>71</v>
      </c>
      <c r="P42" s="37"/>
      <c r="Q42" s="3"/>
      <c r="R42" s="6"/>
    </row>
    <row r="43" spans="1:18" ht="14.1" customHeight="1" x14ac:dyDescent="0.25">
      <c r="A43" s="2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18" t="s">
        <v>37</v>
      </c>
      <c r="P43" s="30" t="str">
        <f>IF(Кол_воДверей="2-х дверный",Ширина_шкафа-Толщина_меньшей_боковины-Толщина_большей_боковины-(ШиринаДвери-НаложениеА)-34,"")</f>
        <v/>
      </c>
      <c r="Q43" s="3"/>
      <c r="R43" s="6"/>
    </row>
    <row r="44" spans="1:18" ht="14.1" customHeight="1" x14ac:dyDescent="0.25">
      <c r="A44" s="2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18" t="s">
        <v>38</v>
      </c>
      <c r="P44" s="30" t="str">
        <f>IF(Кол_воДверей="2-х дверный",Ширина_шкафа-Толщина_меньшей_боковины-Толщина_большей_боковины-(ШиринаДвери-НаложениеА)-34,"")</f>
        <v/>
      </c>
      <c r="Q44" s="3"/>
      <c r="R44" s="6"/>
    </row>
    <row r="45" spans="1:18" ht="14.1" customHeight="1" x14ac:dyDescent="0.25">
      <c r="A45" s="2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12"/>
      <c r="P45" s="33"/>
      <c r="Q45" s="3"/>
      <c r="R45" s="6"/>
    </row>
    <row r="46" spans="1:18" ht="14.1" customHeight="1" x14ac:dyDescent="0.25">
      <c r="A46" s="2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6" t="s">
        <v>72</v>
      </c>
      <c r="P46" s="37"/>
      <c r="Q46" s="3"/>
      <c r="R46" s="6"/>
    </row>
    <row r="47" spans="1:18" ht="14.1" customHeight="1" x14ac:dyDescent="0.25">
      <c r="A47" s="2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18" t="s">
        <v>39</v>
      </c>
      <c r="P47" s="30">
        <f>IF(Кол_воДверей="3-х дверный",Ширина_шкафа-Толщина_меньшей_боковины-(Ширина_шкафа*0.5+0.5*ШиринаДвери+34),"")</f>
        <v>740</v>
      </c>
      <c r="Q47" s="3"/>
      <c r="R47" s="6"/>
    </row>
    <row r="48" spans="1:18" ht="14.1" customHeight="1" x14ac:dyDescent="0.25">
      <c r="A48" s="2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18" t="s">
        <v>40</v>
      </c>
      <c r="P48" s="30">
        <f>IF(Кол_воДверей="3-х дверный",Ширина_шкафа-Толщина_меньшей_боковины-Толщина_большей_боковины-(2*(ШиринаДвери-НаложениеА))-34,"")</f>
        <v>732</v>
      </c>
      <c r="Q48" s="3"/>
      <c r="R48" s="6"/>
    </row>
    <row r="49" spans="1:18" ht="14.1" customHeight="1" x14ac:dyDescent="0.25">
      <c r="A49" s="20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18" t="s">
        <v>41</v>
      </c>
      <c r="P49" s="30">
        <f>IF(Кол_воДверей="3-х дверный",Ширина_шкафа-Толщина_меньшей_боковины-Толщина_большей_боковины-2*(ШиринаДвери-НаложениеА+34),"")</f>
        <v>698</v>
      </c>
      <c r="Q49" s="3"/>
      <c r="R49" s="6"/>
    </row>
    <row r="50" spans="1:18" ht="14.1" customHeight="1" x14ac:dyDescent="0.25">
      <c r="A50" s="2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2"/>
      <c r="P50" s="13"/>
      <c r="Q50" s="3"/>
      <c r="R50" s="6"/>
    </row>
    <row r="51" spans="1:18" ht="14.1" customHeight="1" x14ac:dyDescent="0.25">
      <c r="A51" s="2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8" t="s">
        <v>42</v>
      </c>
      <c r="P51" s="30"/>
      <c r="Q51" s="3"/>
      <c r="R51" s="6"/>
    </row>
    <row r="52" spans="1:18" ht="14.1" customHeight="1" x14ac:dyDescent="0.25">
      <c r="A52" s="2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18" t="s">
        <v>11</v>
      </c>
      <c r="P52" s="30">
        <f>Ширина_шкафа-Толщина_меньшей_боковины-Толщина_большей_боковины-2</f>
        <v>2362</v>
      </c>
      <c r="Q52" s="3"/>
      <c r="R52" s="6"/>
    </row>
    <row r="53" spans="1:18" ht="14.1" customHeight="1" x14ac:dyDescent="0.25">
      <c r="A53" s="2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12"/>
      <c r="P53" s="33"/>
      <c r="Q53" s="3"/>
      <c r="R53" s="6"/>
    </row>
    <row r="54" spans="1:18" ht="14.1" customHeight="1" x14ac:dyDescent="0.25">
      <c r="A54" s="20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2"/>
      <c r="P54" s="33"/>
      <c r="Q54" s="3"/>
      <c r="R54" s="6"/>
    </row>
    <row r="55" spans="1:18" ht="14.1" customHeight="1" x14ac:dyDescent="0.25">
      <c r="A55" s="20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18" t="s">
        <v>43</v>
      </c>
      <c r="P55" s="30"/>
      <c r="Q55" s="3"/>
      <c r="R55" s="6"/>
    </row>
    <row r="56" spans="1:18" ht="14.1" customHeight="1" x14ac:dyDescent="0.25">
      <c r="A56" s="20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18" t="s">
        <v>11</v>
      </c>
      <c r="P56" s="30">
        <f>Ширина_шкафа-Толщина_меньшей_боковины-Толщина_большей_боковины-2</f>
        <v>2362</v>
      </c>
      <c r="Q56" s="3"/>
      <c r="R56" s="6"/>
    </row>
    <row r="57" spans="1:18" ht="14.1" customHeight="1" x14ac:dyDescent="0.25">
      <c r="A57" s="20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12"/>
      <c r="P57" s="33"/>
      <c r="Q57" s="3"/>
      <c r="R57" s="6"/>
    </row>
    <row r="58" spans="1:18" ht="14.1" customHeight="1" x14ac:dyDescent="0.25">
      <c r="A58" s="20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29"/>
      <c r="N58" s="21" t="s">
        <v>44</v>
      </c>
      <c r="O58" s="17" t="s">
        <v>48</v>
      </c>
      <c r="P58" s="34" t="s">
        <v>49</v>
      </c>
      <c r="Q58" s="3"/>
      <c r="R58" s="6"/>
    </row>
    <row r="59" spans="1:18" ht="14.1" customHeight="1" x14ac:dyDescent="0.25">
      <c r="A59" s="20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12"/>
      <c r="N59" s="8">
        <f>IF(длинаПрофиляПорезка&lt;=2300,9277164,9277167)</f>
        <v>9277167</v>
      </c>
      <c r="O59" s="18" t="str">
        <f>IFERROR(VLOOKUP(N59,ДопИнфо!A:B,2,FALSE),"")</f>
        <v>Комплект профилей, L=4000мм, TopLine L v2.0</v>
      </c>
      <c r="P59" s="30">
        <v>1</v>
      </c>
      <c r="Q59" s="3"/>
      <c r="R59" s="6"/>
    </row>
    <row r="60" spans="1:18" ht="14.1" customHeight="1" x14ac:dyDescent="0.25">
      <c r="A60" s="20"/>
      <c r="B60" s="3"/>
      <c r="C60" s="3"/>
      <c r="D60" s="3"/>
      <c r="E60" s="3"/>
      <c r="F60" s="3"/>
      <c r="G60" s="3"/>
      <c r="H60" s="3"/>
      <c r="I60" s="3"/>
      <c r="J60" s="3"/>
      <c r="K60" s="3"/>
      <c r="L60" s="41"/>
      <c r="M60" s="12"/>
      <c r="N60" s="8">
        <f>IF(AND(Кол_воДверей="2-х дверный",Толщина_двери&lt;=16,КакаяПередняя="передняя правая"),9242709,IF(AND(Кол_воДверей="2-х дверный",Толщина_двери&lt;=16,КакаяПередняя="передняя левая"),9242708,IF(AND(Кол_воДверей="2-х дверный",Толщина_двери&gt;16,КакаяПередняя="передняя правая"),9242712,IF(AND(Кол_воДверей="2-х дверный",Толщина_двери&gt;16,КакаяПередняя="передняя левая"),9242711,IF(AND(Кол_воДверей="3-х дверный",Толщина_двери&lt;=16),9242710,IF(AND(Кол_воДверей="3-х дверный",Толщина_двери&gt;16),9242713,""))))))</f>
        <v>9242713</v>
      </c>
      <c r="O60" s="18" t="str">
        <f>IFERROR(VLOOKUP(N60,ДопИнфо!A:B,2,FALSE),"")</f>
        <v>Комплект роликов для 3-дверного шкафа, 18-30мм, TopLine L v2.0</v>
      </c>
      <c r="P60" s="30">
        <v>1</v>
      </c>
    </row>
    <row r="61" spans="1:18" ht="14.1" customHeight="1" x14ac:dyDescent="0.25">
      <c r="A61" s="20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12"/>
      <c r="N61" s="8">
        <f>IF(AND(Кол_воДверей="2-х дверный",МассаДвери&lt;=20),9277096,IF(AND(Кол_воДверей="2-х дверный",МассаДвери&gt;20),9242238,IF(AND(Кол_воДверей="3-х дверный",МассаДвери&lt;=20),9277098,IF(AND(Кол_воДверей="3-х дверный",МассаДвери&gt;20),9242240,""))))</f>
        <v>9242240</v>
      </c>
      <c r="O61" s="18" t="str">
        <f>IFERROR(VLOOKUP(N61,ДопИнфо!A:B,2,FALSE),"")</f>
        <v>Комплект демпферов SilentSystem на закрывание 3-дверного шкафа, 50кг, TopLine L v2.0</v>
      </c>
      <c r="P61" s="30">
        <v>1</v>
      </c>
    </row>
    <row r="62" spans="1:18" ht="14.1" customHeight="1" x14ac:dyDescent="0.25">
      <c r="A62" s="20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12"/>
      <c r="N62" s="8">
        <f>IF(AND(Кол_воДверей="2-х дверный",МассаДвери&lt;=20),9277151,IF(AND(Кол_воДверей="2-х дверный",МассаДвери&gt;20),9242227,IF(AND(Кол_воДверей="3-х дверный",МассаДвери&lt;=20),9277152,IF(AND(Кол_воДверей="3-х дверный",МассаДвери&gt;20),9242228,""))))</f>
        <v>9242228</v>
      </c>
      <c r="O62" s="18" t="str">
        <f>IFERROR(VLOOKUP(N62,ДопИнфо!A:B,2,FALSE),"")</f>
        <v>Комплект демпферов SilentSystem на открывание 3-дверного шкафа, 50кг, TopLine L v2.0</v>
      </c>
      <c r="P62" s="30">
        <v>1</v>
      </c>
    </row>
    <row r="63" spans="1:18" ht="14.1" customHeight="1" x14ac:dyDescent="0.25">
      <c r="A63" s="20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1"/>
    </row>
    <row r="64" spans="1:18" s="3" customFormat="1" ht="14.1" customHeight="1" x14ac:dyDescent="0.25">
      <c r="P64" s="33"/>
    </row>
    <row r="65" spans="2:17" s="3" customFormat="1" ht="14.1" customHeight="1" x14ac:dyDescent="0.25">
      <c r="N65" s="41" t="s">
        <v>78</v>
      </c>
      <c r="O65" s="12"/>
      <c r="P65" s="33"/>
    </row>
    <row r="66" spans="2:17" ht="22.5" customHeight="1" x14ac:dyDescent="0.25">
      <c r="B66" s="24" t="s">
        <v>73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41" t="s">
        <v>75</v>
      </c>
      <c r="O66" s="12"/>
      <c r="P66" s="33"/>
      <c r="Q66" s="3"/>
    </row>
    <row r="67" spans="2:17" ht="14.1" customHeight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41" t="s">
        <v>76</v>
      </c>
      <c r="O67" s="12"/>
      <c r="P67" s="33"/>
      <c r="Q67" s="3"/>
    </row>
    <row r="68" spans="2:17" ht="14.1" customHeight="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12"/>
      <c r="P68" s="33"/>
      <c r="Q68" s="3"/>
    </row>
    <row r="69" spans="2:17" ht="14.1" customHeight="1" x14ac:dyDescent="0.25">
      <c r="B69" s="3"/>
      <c r="C69" s="3"/>
      <c r="D69" s="3"/>
      <c r="E69" s="3"/>
      <c r="F69" s="23"/>
      <c r="G69" s="3"/>
      <c r="H69" s="3"/>
      <c r="I69" s="3"/>
      <c r="J69" s="3"/>
      <c r="K69" s="3"/>
      <c r="L69" s="3"/>
      <c r="M69" s="3"/>
      <c r="N69" s="41" t="s">
        <v>77</v>
      </c>
      <c r="O69" s="1"/>
      <c r="P69" s="33"/>
      <c r="Q69" s="3"/>
    </row>
    <row r="70" spans="2:17" ht="14.1" customHeight="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41" t="s">
        <v>79</v>
      </c>
      <c r="O70" s="1"/>
      <c r="P70" s="33"/>
      <c r="Q70" s="3"/>
    </row>
    <row r="71" spans="2:17" ht="14.1" customHeight="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41" t="s">
        <v>80</v>
      </c>
      <c r="O71" s="1"/>
      <c r="P71" s="33"/>
      <c r="Q71" s="3"/>
    </row>
    <row r="72" spans="2:17" ht="14.1" customHeight="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2"/>
      <c r="P72" s="33"/>
      <c r="Q72" s="3"/>
    </row>
    <row r="73" spans="2:17" ht="14.1" customHeight="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41" t="s">
        <v>81</v>
      </c>
      <c r="O73" s="12"/>
      <c r="P73" s="33"/>
      <c r="Q73" s="3"/>
    </row>
    <row r="74" spans="2:17" ht="14.1" customHeight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12"/>
      <c r="P74" s="33"/>
      <c r="Q74" s="3"/>
    </row>
    <row r="75" spans="2:17" ht="14.1" customHeight="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12"/>
      <c r="P75" s="33"/>
      <c r="Q75" s="3"/>
    </row>
    <row r="76" spans="2:17" ht="14.1" customHeight="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12"/>
      <c r="P76" s="33"/>
      <c r="Q76" s="3"/>
    </row>
    <row r="77" spans="2:17" ht="14.1" customHeight="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12"/>
      <c r="P77" s="33"/>
      <c r="Q77" s="3"/>
    </row>
    <row r="78" spans="2:17" ht="14.1" customHeight="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12"/>
      <c r="P78" s="33"/>
      <c r="Q78" s="3"/>
    </row>
    <row r="79" spans="2:17" ht="14.1" customHeight="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2"/>
      <c r="P79" s="33"/>
      <c r="Q79" s="3"/>
    </row>
    <row r="80" spans="2:17" ht="14.1" customHeight="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12"/>
      <c r="P80" s="33"/>
      <c r="Q80" s="3"/>
    </row>
    <row r="81" spans="2:15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2:15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2:15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2:15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2:15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2:15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2:15" x14ac:dyDescent="0.25">
      <c r="H87" s="3"/>
      <c r="I87" s="3"/>
      <c r="J87" s="3"/>
      <c r="K87" s="3"/>
      <c r="L87" s="3"/>
      <c r="M87" s="3"/>
      <c r="N87" s="3"/>
      <c r="O87" s="12"/>
    </row>
  </sheetData>
  <sheetProtection algorithmName="SHA-512" hashValue="nrO7hHGPhOPJ8QQsqTDtprbXd7HvqHSuuOYKPUWCkC6Rn4rthBHxQ3RTvTmBJdNTgDkhe6t9ttzN6x6x/H/YAw==" saltValue="zJYTkdoPiHlWnInfBHVO5w==" spinCount="100000" sheet="1" objects="1" scenarios="1"/>
  <mergeCells count="2">
    <mergeCell ref="O42:P42"/>
    <mergeCell ref="O46:P46"/>
  </mergeCells>
  <dataValidations count="7">
    <dataValidation type="list" allowBlank="1" showInputMessage="1" showErrorMessage="1" sqref="P15:P16" xr:uid="{00000000-0002-0000-0000-000000000000}">
      <formula1>ТипДверей</formula1>
    </dataValidation>
    <dataValidation type="list" allowBlank="1" showInputMessage="1" showErrorMessage="1" sqref="P11" xr:uid="{00000000-0002-0000-0000-000001000000}">
      <formula1>КолвоДверей</formula1>
    </dataValidation>
    <dataValidation type="list" allowBlank="1" showInputMessage="1" showErrorMessage="1" sqref="P9" xr:uid="{00000000-0002-0000-0000-000002000000}">
      <formula1>ТолщиныДверей</formula1>
    </dataValidation>
    <dataValidation type="list" allowBlank="1" showInputMessage="1" showErrorMessage="1" sqref="P14" xr:uid="{00000000-0002-0000-0000-000003000000}">
      <formula1>Материал</formula1>
    </dataValidation>
    <dataValidation type="list" allowBlank="1" showInputMessage="1" showErrorMessage="1" sqref="P8" xr:uid="{00000000-0002-0000-0000-000004000000}">
      <formula1>Наложение_А</formula1>
    </dataValidation>
    <dataValidation type="list" allowBlank="1" showInputMessage="1" showErrorMessage="1" sqref="R16:R17" xr:uid="{00000000-0002-0000-0000-000005000000}">
      <formula1>ЗаднняДверь</formula1>
    </dataValidation>
    <dataValidation type="list" allowBlank="1" showInputMessage="1" showErrorMessage="1" sqref="Q11:Q12 P12" xr:uid="{0F2D7E8B-0393-4613-B01A-8B6BB81C9613}">
      <formula1>Передняя</formula1>
    </dataValidation>
  </dataValidations>
  <hyperlinks>
    <hyperlink ref="B66" r:id="rId1" xr:uid="{C35EF49B-DAA0-4EB2-9559-6DC87F60136C}"/>
    <hyperlink ref="N65" r:id="rId2" display="Монтажная инструкция 2-х дверн. Шкаф" xr:uid="{373ED24A-C0A3-4043-BF1E-43219C0F8C2E}"/>
    <hyperlink ref="N66" r:id="rId3" display="Монтажная инструкция для доводчиков 2-х дверн. Шкаф" xr:uid="{F0534619-5793-4413-8277-AD3038726DB8}"/>
    <hyperlink ref="N67" r:id="rId4" xr:uid="{B2539678-25CC-4182-AAF9-C4DBA2054959}"/>
    <hyperlink ref="N69" r:id="rId5" xr:uid="{A747F062-4CBE-447E-A01A-EDA41DDC26A0}"/>
    <hyperlink ref="N70" r:id="rId6" xr:uid="{2BC28BFB-4AB6-4E3C-B5D9-680D78881C97}"/>
    <hyperlink ref="N71" r:id="rId7" xr:uid="{2207FB15-3357-400C-9316-647BE578B75A}"/>
    <hyperlink ref="N73" r:id="rId8" xr:uid="{4AA506CD-A61D-4B1C-A59B-6984AB2E940B}"/>
  </hyperlinks>
  <pageMargins left="0.70866141732283472" right="0.70866141732283472" top="0.74803149606299213" bottom="0.74803149606299213" header="0.31496062992125984" footer="0.31496062992125984"/>
  <pageSetup paperSize="9" scale="39" orientation="portrait" horizontalDpi="180" verticalDpi="180" r:id="rId9"/>
  <drawing r:id="rId10"/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86164-6DD6-456A-B4FB-E87BB5885CE1}">
  <dimension ref="A1:B21"/>
  <sheetViews>
    <sheetView workbookViewId="0">
      <selection activeCell="E14" sqref="E14"/>
    </sheetView>
  </sheetViews>
  <sheetFormatPr defaultRowHeight="15" x14ac:dyDescent="0.25"/>
  <cols>
    <col min="2" max="2" width="87.5703125" customWidth="1"/>
  </cols>
  <sheetData>
    <row r="1" spans="1:2" x14ac:dyDescent="0.25">
      <c r="A1" s="9">
        <v>9130078</v>
      </c>
      <c r="B1" s="9" t="s">
        <v>63</v>
      </c>
    </row>
    <row r="2" spans="1:2" x14ac:dyDescent="0.25">
      <c r="A2" s="9">
        <v>9209271</v>
      </c>
      <c r="B2" s="9" t="s">
        <v>61</v>
      </c>
    </row>
    <row r="3" spans="1:2" x14ac:dyDescent="0.25">
      <c r="A3" s="9">
        <v>9209273</v>
      </c>
      <c r="B3" s="9" t="s">
        <v>62</v>
      </c>
    </row>
    <row r="4" spans="1:2" x14ac:dyDescent="0.25">
      <c r="A4" s="9">
        <v>9242227</v>
      </c>
      <c r="B4" s="9" t="s">
        <v>55</v>
      </c>
    </row>
    <row r="5" spans="1:2" x14ac:dyDescent="0.25">
      <c r="A5" s="9">
        <v>9242228</v>
      </c>
      <c r="B5" s="9" t="s">
        <v>56</v>
      </c>
    </row>
    <row r="6" spans="1:2" x14ac:dyDescent="0.25">
      <c r="A6" s="9">
        <v>9242238</v>
      </c>
      <c r="B6" s="9" t="s">
        <v>53</v>
      </c>
    </row>
    <row r="7" spans="1:2" x14ac:dyDescent="0.25">
      <c r="A7" s="9">
        <v>9242240</v>
      </c>
      <c r="B7" s="9" t="s">
        <v>54</v>
      </c>
    </row>
    <row r="8" spans="1:2" x14ac:dyDescent="0.25">
      <c r="A8" s="10">
        <v>9242708</v>
      </c>
      <c r="B8" s="9" t="s">
        <v>64</v>
      </c>
    </row>
    <row r="9" spans="1:2" x14ac:dyDescent="0.25">
      <c r="A9" s="10">
        <v>9242709</v>
      </c>
      <c r="B9" s="9" t="s">
        <v>65</v>
      </c>
    </row>
    <row r="10" spans="1:2" x14ac:dyDescent="0.25">
      <c r="A10" s="9">
        <v>9242710</v>
      </c>
      <c r="B10" s="9" t="s">
        <v>66</v>
      </c>
    </row>
    <row r="11" spans="1:2" x14ac:dyDescent="0.25">
      <c r="A11" s="9">
        <v>9242711</v>
      </c>
      <c r="B11" s="9" t="s">
        <v>50</v>
      </c>
    </row>
    <row r="12" spans="1:2" x14ac:dyDescent="0.25">
      <c r="A12" s="9">
        <v>9242712</v>
      </c>
      <c r="B12" s="9" t="s">
        <v>51</v>
      </c>
    </row>
    <row r="13" spans="1:2" x14ac:dyDescent="0.25">
      <c r="A13" s="9">
        <v>9242713</v>
      </c>
      <c r="B13" s="9" t="s">
        <v>52</v>
      </c>
    </row>
    <row r="14" spans="1:2" x14ac:dyDescent="0.25">
      <c r="A14" s="9">
        <v>9254630</v>
      </c>
      <c r="B14" s="9" t="s">
        <v>57</v>
      </c>
    </row>
    <row r="15" spans="1:2" x14ac:dyDescent="0.25">
      <c r="A15" s="11">
        <v>9277096</v>
      </c>
      <c r="B15" s="9" t="s">
        <v>67</v>
      </c>
    </row>
    <row r="16" spans="1:2" x14ac:dyDescent="0.25">
      <c r="A16" s="11">
        <v>9277098</v>
      </c>
      <c r="B16" s="9" t="s">
        <v>68</v>
      </c>
    </row>
    <row r="17" spans="1:2" x14ac:dyDescent="0.25">
      <c r="A17" s="9">
        <v>9277151</v>
      </c>
      <c r="B17" s="9" t="s">
        <v>69</v>
      </c>
    </row>
    <row r="18" spans="1:2" x14ac:dyDescent="0.25">
      <c r="A18" s="9">
        <v>9277152</v>
      </c>
      <c r="B18" s="9" t="s">
        <v>70</v>
      </c>
    </row>
    <row r="19" spans="1:2" x14ac:dyDescent="0.25">
      <c r="A19" s="9">
        <v>9277164</v>
      </c>
      <c r="B19" s="9" t="s">
        <v>58</v>
      </c>
    </row>
    <row r="20" spans="1:2" x14ac:dyDescent="0.25">
      <c r="A20" s="9">
        <v>9277167</v>
      </c>
      <c r="B20" s="9" t="s">
        <v>59</v>
      </c>
    </row>
    <row r="21" spans="1:2" x14ac:dyDescent="0.25">
      <c r="A21" s="9">
        <v>9277440</v>
      </c>
      <c r="B21" s="9" t="s">
        <v>60</v>
      </c>
    </row>
  </sheetData>
  <sortState xmlns:xlrd2="http://schemas.microsoft.com/office/spreadsheetml/2017/richdata2" ref="A1:B22">
    <sortCondition ref="A1"/>
  </sortState>
  <conditionalFormatting sqref="A10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3"/>
  <sheetViews>
    <sheetView workbookViewId="0">
      <selection activeCell="H15" sqref="H15"/>
    </sheetView>
  </sheetViews>
  <sheetFormatPr defaultRowHeight="15" x14ac:dyDescent="0.25"/>
  <cols>
    <col min="22" max="22" width="18" customWidth="1"/>
  </cols>
  <sheetData>
    <row r="1" spans="1:22" x14ac:dyDescent="0.25">
      <c r="A1" t="s">
        <v>3</v>
      </c>
      <c r="D1" t="s">
        <v>5</v>
      </c>
      <c r="F1">
        <v>16</v>
      </c>
      <c r="I1">
        <v>16</v>
      </c>
      <c r="K1" t="s">
        <v>6</v>
      </c>
      <c r="M1">
        <v>-4</v>
      </c>
      <c r="O1" t="s">
        <v>13</v>
      </c>
      <c r="R1" t="s">
        <v>15</v>
      </c>
      <c r="T1">
        <v>10</v>
      </c>
      <c r="V1" t="s">
        <v>45</v>
      </c>
    </row>
    <row r="2" spans="1:22" x14ac:dyDescent="0.25">
      <c r="A2" t="s">
        <v>4</v>
      </c>
      <c r="D2">
        <v>16</v>
      </c>
      <c r="F2">
        <v>17</v>
      </c>
      <c r="I2">
        <v>18</v>
      </c>
      <c r="K2" t="s">
        <v>7</v>
      </c>
      <c r="M2">
        <v>-3</v>
      </c>
      <c r="O2" t="s">
        <v>14</v>
      </c>
      <c r="R2" t="s">
        <v>16</v>
      </c>
      <c r="T2">
        <v>11</v>
      </c>
      <c r="V2" t="s">
        <v>46</v>
      </c>
    </row>
    <row r="3" spans="1:22" x14ac:dyDescent="0.25">
      <c r="D3">
        <v>17</v>
      </c>
      <c r="F3">
        <v>18</v>
      </c>
      <c r="I3">
        <v>19</v>
      </c>
      <c r="K3" t="s">
        <v>8</v>
      </c>
      <c r="M3">
        <v>-2</v>
      </c>
      <c r="T3">
        <v>12</v>
      </c>
    </row>
    <row r="4" spans="1:22" x14ac:dyDescent="0.25">
      <c r="D4">
        <v>18</v>
      </c>
      <c r="F4">
        <v>19</v>
      </c>
      <c r="I4">
        <v>22</v>
      </c>
      <c r="M4">
        <v>-1</v>
      </c>
      <c r="T4">
        <v>13</v>
      </c>
    </row>
    <row r="5" spans="1:22" x14ac:dyDescent="0.25">
      <c r="D5">
        <v>19</v>
      </c>
      <c r="F5">
        <v>20</v>
      </c>
      <c r="I5">
        <v>25</v>
      </c>
      <c r="M5">
        <v>0</v>
      </c>
      <c r="T5">
        <v>14</v>
      </c>
    </row>
    <row r="6" spans="1:22" x14ac:dyDescent="0.25">
      <c r="F6">
        <v>21</v>
      </c>
      <c r="I6">
        <v>28</v>
      </c>
      <c r="M6">
        <v>1</v>
      </c>
      <c r="T6">
        <v>15</v>
      </c>
    </row>
    <row r="7" spans="1:22" x14ac:dyDescent="0.25">
      <c r="F7">
        <v>22</v>
      </c>
      <c r="I7">
        <v>40</v>
      </c>
      <c r="M7">
        <v>2</v>
      </c>
      <c r="T7">
        <v>16</v>
      </c>
    </row>
    <row r="8" spans="1:22" x14ac:dyDescent="0.25">
      <c r="F8">
        <v>23</v>
      </c>
      <c r="I8">
        <v>50</v>
      </c>
      <c r="M8">
        <v>3</v>
      </c>
      <c r="T8">
        <v>17</v>
      </c>
    </row>
    <row r="9" spans="1:22" x14ac:dyDescent="0.25">
      <c r="F9">
        <v>24</v>
      </c>
      <c r="M9">
        <v>4</v>
      </c>
      <c r="T9">
        <v>18</v>
      </c>
    </row>
    <row r="10" spans="1:22" x14ac:dyDescent="0.25">
      <c r="F10">
        <v>25</v>
      </c>
      <c r="M10">
        <v>5</v>
      </c>
      <c r="T10">
        <v>19</v>
      </c>
    </row>
    <row r="11" spans="1:22" x14ac:dyDescent="0.25">
      <c r="F11">
        <v>26</v>
      </c>
      <c r="M11">
        <v>6</v>
      </c>
      <c r="T11">
        <v>20</v>
      </c>
    </row>
    <row r="12" spans="1:22" x14ac:dyDescent="0.25">
      <c r="F12">
        <v>27</v>
      </c>
      <c r="M12">
        <v>7</v>
      </c>
      <c r="T12">
        <v>21</v>
      </c>
    </row>
    <row r="13" spans="1:22" x14ac:dyDescent="0.25">
      <c r="F13">
        <v>28</v>
      </c>
      <c r="M13">
        <v>8</v>
      </c>
      <c r="T13">
        <v>22</v>
      </c>
    </row>
    <row r="14" spans="1:22" x14ac:dyDescent="0.25">
      <c r="F14">
        <v>29</v>
      </c>
      <c r="M14">
        <v>9</v>
      </c>
      <c r="T14">
        <v>23</v>
      </c>
    </row>
    <row r="15" spans="1:22" x14ac:dyDescent="0.25">
      <c r="F15">
        <v>30</v>
      </c>
      <c r="M15">
        <v>10</v>
      </c>
      <c r="T15">
        <v>24</v>
      </c>
    </row>
    <row r="16" spans="1:22" x14ac:dyDescent="0.25">
      <c r="F16">
        <v>31</v>
      </c>
      <c r="M16">
        <v>11</v>
      </c>
      <c r="T16">
        <v>25</v>
      </c>
    </row>
    <row r="17" spans="6:20" x14ac:dyDescent="0.25">
      <c r="F17">
        <v>32</v>
      </c>
      <c r="M17">
        <v>12</v>
      </c>
      <c r="T17">
        <v>26</v>
      </c>
    </row>
    <row r="18" spans="6:20" x14ac:dyDescent="0.25">
      <c r="F18">
        <v>33</v>
      </c>
      <c r="M18">
        <v>13</v>
      </c>
      <c r="T18">
        <v>27</v>
      </c>
    </row>
    <row r="19" spans="6:20" x14ac:dyDescent="0.25">
      <c r="F19">
        <v>34</v>
      </c>
      <c r="M19">
        <v>14</v>
      </c>
      <c r="T19">
        <v>28</v>
      </c>
    </row>
    <row r="20" spans="6:20" x14ac:dyDescent="0.25">
      <c r="F20">
        <v>35</v>
      </c>
      <c r="M20">
        <v>15</v>
      </c>
      <c r="T20">
        <v>29</v>
      </c>
    </row>
    <row r="21" spans="6:20" x14ac:dyDescent="0.25">
      <c r="F21">
        <v>36</v>
      </c>
      <c r="M21">
        <v>16</v>
      </c>
      <c r="T21">
        <v>30</v>
      </c>
    </row>
    <row r="22" spans="6:20" x14ac:dyDescent="0.25">
      <c r="F22">
        <v>37</v>
      </c>
      <c r="M22">
        <v>17</v>
      </c>
      <c r="T22">
        <v>31</v>
      </c>
    </row>
    <row r="23" spans="6:20" x14ac:dyDescent="0.25">
      <c r="F23">
        <v>38</v>
      </c>
      <c r="M23">
        <v>18</v>
      </c>
      <c r="T23">
        <v>32</v>
      </c>
    </row>
    <row r="24" spans="6:20" x14ac:dyDescent="0.25">
      <c r="F24">
        <v>39</v>
      </c>
      <c r="M24">
        <v>19</v>
      </c>
      <c r="T24">
        <v>33</v>
      </c>
    </row>
    <row r="25" spans="6:20" x14ac:dyDescent="0.25">
      <c r="F25">
        <v>40</v>
      </c>
      <c r="M25">
        <v>20</v>
      </c>
      <c r="T25">
        <v>34</v>
      </c>
    </row>
    <row r="26" spans="6:20" x14ac:dyDescent="0.25">
      <c r="F26">
        <v>41</v>
      </c>
      <c r="M26">
        <v>21</v>
      </c>
      <c r="T26">
        <v>35</v>
      </c>
    </row>
    <row r="27" spans="6:20" x14ac:dyDescent="0.25">
      <c r="F27">
        <v>42</v>
      </c>
      <c r="M27">
        <v>22</v>
      </c>
      <c r="T27">
        <v>36</v>
      </c>
    </row>
    <row r="28" spans="6:20" x14ac:dyDescent="0.25">
      <c r="F28">
        <v>43</v>
      </c>
      <c r="M28">
        <v>23</v>
      </c>
      <c r="T28">
        <v>37</v>
      </c>
    </row>
    <row r="29" spans="6:20" x14ac:dyDescent="0.25">
      <c r="F29">
        <v>44</v>
      </c>
      <c r="M29">
        <v>24</v>
      </c>
      <c r="T29">
        <v>38</v>
      </c>
    </row>
    <row r="30" spans="6:20" x14ac:dyDescent="0.25">
      <c r="F30">
        <v>45</v>
      </c>
      <c r="M30">
        <v>25</v>
      </c>
      <c r="T30">
        <v>39</v>
      </c>
    </row>
    <row r="31" spans="6:20" x14ac:dyDescent="0.25">
      <c r="F31">
        <v>46</v>
      </c>
      <c r="T31">
        <v>40</v>
      </c>
    </row>
    <row r="32" spans="6:20" x14ac:dyDescent="0.25">
      <c r="F32">
        <v>47</v>
      </c>
      <c r="T32">
        <v>41</v>
      </c>
    </row>
    <row r="33" spans="6:20" x14ac:dyDescent="0.25">
      <c r="F33">
        <v>48</v>
      </c>
      <c r="T33">
        <v>42</v>
      </c>
    </row>
    <row r="34" spans="6:20" x14ac:dyDescent="0.25">
      <c r="F34">
        <v>49</v>
      </c>
      <c r="T34">
        <v>43</v>
      </c>
    </row>
    <row r="35" spans="6:20" x14ac:dyDescent="0.25">
      <c r="F35">
        <v>50</v>
      </c>
      <c r="T35">
        <v>44</v>
      </c>
    </row>
    <row r="36" spans="6:20" x14ac:dyDescent="0.25">
      <c r="T36">
        <v>45</v>
      </c>
    </row>
    <row r="37" spans="6:20" x14ac:dyDescent="0.25">
      <c r="T37">
        <v>46</v>
      </c>
    </row>
    <row r="38" spans="6:20" x14ac:dyDescent="0.25">
      <c r="T38">
        <v>47</v>
      </c>
    </row>
    <row r="39" spans="6:20" x14ac:dyDescent="0.25">
      <c r="T39">
        <v>48</v>
      </c>
    </row>
    <row r="40" spans="6:20" x14ac:dyDescent="0.25">
      <c r="T40">
        <v>49</v>
      </c>
    </row>
    <row r="41" spans="6:20" x14ac:dyDescent="0.25">
      <c r="T41">
        <v>50</v>
      </c>
    </row>
    <row r="42" spans="6:20" ht="15.75" x14ac:dyDescent="0.25">
      <c r="T42" s="7" t="s">
        <v>33</v>
      </c>
    </row>
    <row r="43" spans="6:20" ht="15.75" x14ac:dyDescent="0.25">
      <c r="T43" s="7" t="s">
        <v>34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43</vt:i4>
      </vt:variant>
    </vt:vector>
  </HeadingPairs>
  <TitlesOfParts>
    <vt:vector size="47" baseType="lpstr">
      <vt:lpstr>Расчет</vt:lpstr>
      <vt:lpstr>ДопИнфо</vt:lpstr>
      <vt:lpstr>Наименование</vt:lpstr>
      <vt:lpstr>Лист3</vt:lpstr>
      <vt:lpstr>EB.30</vt:lpstr>
      <vt:lpstr>EB_30</vt:lpstr>
      <vt:lpstr>Боковина_большая</vt:lpstr>
      <vt:lpstr>Боковина_меньшая</vt:lpstr>
      <vt:lpstr>высота_с_кромкой</vt:lpstr>
      <vt:lpstr>Высота_цоколя</vt:lpstr>
      <vt:lpstr>Высота_шкафа</vt:lpstr>
      <vt:lpstr>ВысотаБоковины</vt:lpstr>
      <vt:lpstr>ВысотаБоковиныМеньшей</vt:lpstr>
      <vt:lpstr>высотаВнутрСтойки</vt:lpstr>
      <vt:lpstr>ВысотаДвери</vt:lpstr>
      <vt:lpstr>ВысотаПроема</vt:lpstr>
      <vt:lpstr>Глубина_шкафа</vt:lpstr>
      <vt:lpstr>ДвериТип</vt:lpstr>
      <vt:lpstr>длинаПрофиля</vt:lpstr>
      <vt:lpstr>длинаПрофиляПорезка</vt:lpstr>
      <vt:lpstr>ЗаднняДверь</vt:lpstr>
      <vt:lpstr>КакаяПередняя</vt:lpstr>
      <vt:lpstr>Кол_воДверей</vt:lpstr>
      <vt:lpstr>КолвоДверей</vt:lpstr>
      <vt:lpstr>Крыша_и_дно</vt:lpstr>
      <vt:lpstr>МассаДвери</vt:lpstr>
      <vt:lpstr>Материал</vt:lpstr>
      <vt:lpstr>Материал_двери__ДСП_или_МДФ</vt:lpstr>
      <vt:lpstr>Наложение_А</vt:lpstr>
      <vt:lpstr>НаложениеА</vt:lpstr>
      <vt:lpstr>Передняя</vt:lpstr>
      <vt:lpstr>ПередняяДверьПраваяЛевая</vt:lpstr>
      <vt:lpstr>Размер_EB</vt:lpstr>
      <vt:lpstr>РазмерДверей</vt:lpstr>
      <vt:lpstr>РазмерыДверей</vt:lpstr>
      <vt:lpstr>ТипДверей</vt:lpstr>
      <vt:lpstr>Толщина_большей_боковины</vt:lpstr>
      <vt:lpstr>Толщина_двери</vt:lpstr>
      <vt:lpstr>Толщина_крыши</vt:lpstr>
      <vt:lpstr>Толщина_меньшей_боковины</vt:lpstr>
      <vt:lpstr>ТОЛЩИНАнов</vt:lpstr>
      <vt:lpstr>ТолщиныДверей</vt:lpstr>
      <vt:lpstr>ширина_с_кромкой</vt:lpstr>
      <vt:lpstr>Ширина_шкафа</vt:lpstr>
      <vt:lpstr>ШиринаБоковины</vt:lpstr>
      <vt:lpstr>ШиринаБоковиныМеньшей</vt:lpstr>
      <vt:lpstr>ШиринаДвери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2021-05-18T09:41:23Z</dcterms:modified>
</cp:coreProperties>
</file>